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filterPrivacy="1" codeName="DieseArbeitsmappe" defaultThemeVersion="124226"/>
  <xr:revisionPtr revIDLastSave="0" documentId="13_ncr:1_{1859EE20-A5D0-5348-B1CC-14B3FBCDD650}" xr6:coauthVersionLast="45" xr6:coauthVersionMax="45" xr10:uidLastSave="{00000000-0000-0000-0000-000000000000}"/>
  <workbookProtection workbookAlgorithmName="SHA-512" workbookHashValue="iO7BQ7VQZm7/RaUfkrKBMYzxt4vyHwnrKWPuIgJmuxHidS6jufh+agF6j7vyA3e4U8RAyYHbW4pBPiJterlwhg==" workbookSaltValue="5rxm9nBHdm5Kl7XKenCrOA==" workbookSpinCount="100000" lockStructure="1"/>
  <bookViews>
    <workbookView xWindow="38420" yWindow="460" windowWidth="36060" windowHeight="19980" xr2:uid="{00000000-000D-0000-FFFF-FFFF00000000}"/>
  </bookViews>
  <sheets>
    <sheet name="Input_Output" sheetId="1" r:id="rId1"/>
    <sheet name="Definitions" sheetId="2" r:id="rId2"/>
  </sheets>
  <definedNames>
    <definedName name="kg_gal">Definitions!$H$5</definedName>
    <definedName name="kg_lbs">Definitions!$H$3</definedName>
    <definedName name="lbs_gal">Definitions!$H$4</definedName>
    <definedName name="liter_gal">Definitions!$H$7</definedName>
    <definedName name="liter_kg">Definitions!$H$6</definedName>
    <definedName name="m_inch">Definitions!$H$8</definedName>
    <definedName name="Max_Tip_Fuel">Input_Output!#REF!</definedName>
    <definedName name="Max_Wing_Fuel">Input_Output!$C$20</definedName>
    <definedName name="_xlnm.Print_Area" localSheetId="0">Input_Output!$A$1:$O$28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B10" i="1" s="1"/>
  <c r="F20" i="1" l="1"/>
  <c r="F14" i="1" l="1"/>
  <c r="F11" i="1"/>
  <c r="C12" i="1"/>
  <c r="G9" i="1" l="1"/>
  <c r="F9" i="1"/>
  <c r="E9" i="1"/>
  <c r="D3" i="1"/>
  <c r="G3" i="1" s="1"/>
  <c r="F3" i="1"/>
  <c r="D9" i="2"/>
  <c r="D8" i="2"/>
  <c r="C13" i="1" l="1"/>
  <c r="H9" i="1"/>
  <c r="H3" i="1"/>
  <c r="G8" i="1"/>
  <c r="G7" i="1"/>
  <c r="G5" i="1"/>
  <c r="G6" i="1"/>
  <c r="G4" i="1"/>
  <c r="F8" i="1"/>
  <c r="F7" i="1"/>
  <c r="F6" i="1"/>
  <c r="F5" i="1"/>
  <c r="F4" i="1"/>
  <c r="F12" i="1" l="1"/>
  <c r="F10" i="1"/>
  <c r="H6" i="1"/>
  <c r="H7" i="1"/>
  <c r="H4" i="1"/>
  <c r="H8" i="1"/>
  <c r="H5" i="1"/>
  <c r="F21" i="1"/>
  <c r="C21" i="1" s="1"/>
  <c r="E4" i="1"/>
  <c r="E5" i="1"/>
  <c r="E6" i="1"/>
  <c r="E7" i="1"/>
  <c r="E8" i="1"/>
  <c r="D4" i="2"/>
  <c r="D5" i="2"/>
  <c r="D6" i="2"/>
  <c r="D7" i="2"/>
  <c r="D3" i="2"/>
  <c r="E20" i="1"/>
  <c r="H4" i="2"/>
  <c r="D21" i="1" s="1"/>
  <c r="E21" i="1"/>
  <c r="H10" i="1" l="1"/>
  <c r="E10" i="1"/>
  <c r="C20" i="1"/>
  <c r="G10" i="1" l="1"/>
  <c r="F13" i="1"/>
  <c r="B10" i="2" l="1"/>
  <c r="B11" i="2"/>
  <c r="D10" i="2"/>
  <c r="D10" i="1"/>
  <c r="C11" i="2" s="1"/>
  <c r="C10" i="2" l="1"/>
  <c r="D11" i="2"/>
</calcChain>
</file>

<file path=xl/sharedStrings.xml><?xml version="1.0" encoding="utf-8"?>
<sst xmlns="http://schemas.openxmlformats.org/spreadsheetml/2006/main" count="71" uniqueCount="56">
  <si>
    <t>Arm</t>
  </si>
  <si>
    <t>Moment</t>
  </si>
  <si>
    <t>Min.Fwd</t>
  </si>
  <si>
    <t>Max Fwd</t>
  </si>
  <si>
    <t>Max Rear</t>
  </si>
  <si>
    <t>Min Rear</t>
  </si>
  <si>
    <t>Aircraft Empty Weight</t>
  </si>
  <si>
    <t>Actual 0 Fuel</t>
  </si>
  <si>
    <t>Actual TakeOff</t>
  </si>
  <si>
    <t>Take Off</t>
  </si>
  <si>
    <t>Mom/1000</t>
  </si>
  <si>
    <t>Weight</t>
  </si>
  <si>
    <t>Fuel</t>
  </si>
  <si>
    <t>Liters</t>
  </si>
  <si>
    <t>Mass</t>
  </si>
  <si>
    <t>Factors</t>
  </si>
  <si>
    <t>kg_lbs</t>
  </si>
  <si>
    <t>m_inch</t>
  </si>
  <si>
    <t>lbs_gal</t>
  </si>
  <si>
    <t>liter_gal</t>
  </si>
  <si>
    <t>kg_gal</t>
  </si>
  <si>
    <t>Adjust with mouse</t>
  </si>
  <si>
    <t>liter_kg</t>
  </si>
  <si>
    <t>lbs</t>
  </si>
  <si>
    <t>in</t>
  </si>
  <si>
    <t>Pilot and Front Pax</t>
  </si>
  <si>
    <t>Rear Seats Pax</t>
  </si>
  <si>
    <t>Min. Fwd</t>
  </si>
  <si>
    <t>GAL</t>
  </si>
  <si>
    <t>kg</t>
  </si>
  <si>
    <t>lbs. In</t>
  </si>
  <si>
    <t>m</t>
  </si>
  <si>
    <t>m kg</t>
  </si>
  <si>
    <t>HB-CZU</t>
  </si>
  <si>
    <t>C-182S</t>
  </si>
  <si>
    <t>HB-CZU  Aircraft Weight &amp; Balance Data</t>
  </si>
  <si>
    <t>Max Fwd Land</t>
  </si>
  <si>
    <t>Max Rear Land</t>
  </si>
  <si>
    <t>Baggage Area A</t>
  </si>
  <si>
    <t>Baggage Area B</t>
  </si>
  <si>
    <t>Area B max. 80 lbs or 36 kg</t>
  </si>
  <si>
    <t>Max Bag. Area 1+2 200 lbs or 90 kg</t>
  </si>
  <si>
    <t>Area A max. 120 lbs or 54 kg</t>
  </si>
  <si>
    <t>Area C max. 80 lbs or 36 kg</t>
  </si>
  <si>
    <t>Baggage Area C</t>
  </si>
  <si>
    <t>Max. Landing Weight MLW</t>
  </si>
  <si>
    <t>AFM 21.4.2019</t>
  </si>
  <si>
    <t>Consult current AFM for binding data</t>
  </si>
  <si>
    <t>Max. usable fuel</t>
  </si>
  <si>
    <t>Zero Fuel Weight lbs</t>
  </si>
  <si>
    <t>Rev. 23.04.2020</t>
  </si>
  <si>
    <t>C.G. must be inside envelope</t>
  </si>
  <si>
    <t>or fill in numbers  in "lbs"</t>
  </si>
  <si>
    <t>Actual fuel</t>
  </si>
  <si>
    <t>MAXIMUM TAKE OFF WEIGHT MTOW</t>
  </si>
  <si>
    <t>Additional load to MTOW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</si>
</sst>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#,##0_ ;[Red]\-#,##0\ "/>
  </numFmts>
  <fonts count="12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 style="thin">
        <color auto="1"/>
      </bottom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thin">
        <color auto="1"/>
      </bottom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mediumDashed">
        <color rgb="FF00B05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3" borderId="4" xfId="0" applyNumberFormat="1" applyFill="1" applyBorder="1"/>
    <xf numFmtId="164" fontId="3" fillId="3" borderId="4" xfId="0" applyNumberFormat="1" applyFont="1" applyFill="1" applyBorder="1"/>
    <xf numFmtId="0" fontId="0" fillId="3" borderId="1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164" fontId="4" fillId="3" borderId="7" xfId="0" applyNumberFormat="1" applyFont="1" applyFill="1" applyBorder="1"/>
    <xf numFmtId="165" fontId="0" fillId="2" borderId="6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0" borderId="0" xfId="0" applyNumberFormat="1"/>
    <xf numFmtId="166" fontId="0" fillId="3" borderId="10" xfId="0" applyNumberFormat="1" applyFill="1" applyBorder="1"/>
    <xf numFmtId="166" fontId="0" fillId="3" borderId="11" xfId="0" applyNumberFormat="1" applyFill="1" applyBorder="1"/>
    <xf numFmtId="0" fontId="8" fillId="0" borderId="0" xfId="0" applyFont="1"/>
    <xf numFmtId="0" fontId="8" fillId="3" borderId="2" xfId="0" applyFont="1" applyFill="1" applyBorder="1"/>
    <xf numFmtId="3" fontId="8" fillId="14" borderId="29" xfId="0" applyNumberFormat="1" applyFont="1" applyFill="1" applyBorder="1" applyAlignment="1" applyProtection="1">
      <alignment vertical="center"/>
      <protection locked="0"/>
    </xf>
    <xf numFmtId="3" fontId="8" fillId="14" borderId="30" xfId="0" applyNumberFormat="1" applyFont="1" applyFill="1" applyBorder="1" applyAlignment="1" applyProtection="1">
      <alignment vertical="center"/>
      <protection locked="0"/>
    </xf>
    <xf numFmtId="3" fontId="8" fillId="14" borderId="31" xfId="0" applyNumberFormat="1" applyFont="1" applyFill="1" applyBorder="1" applyAlignment="1" applyProtection="1">
      <alignment vertical="center"/>
      <protection locked="0"/>
    </xf>
    <xf numFmtId="164" fontId="1" fillId="4" borderId="49" xfId="0" applyNumberFormat="1" applyFont="1" applyFill="1" applyBorder="1" applyAlignment="1" applyProtection="1">
      <alignment horizontal="center" vertical="center"/>
    </xf>
    <xf numFmtId="0" fontId="1" fillId="13" borderId="49" xfId="0" applyFont="1" applyFill="1" applyBorder="1" applyAlignment="1" applyProtection="1">
      <alignment horizontal="center" vertical="center"/>
    </xf>
    <xf numFmtId="164" fontId="1" fillId="13" borderId="12" xfId="0" applyNumberFormat="1" applyFont="1" applyFill="1" applyBorder="1" applyAlignment="1" applyProtection="1">
      <alignment horizontal="center" vertical="center"/>
    </xf>
    <xf numFmtId="0" fontId="1" fillId="12" borderId="48" xfId="0" applyFont="1" applyFill="1" applyBorder="1" applyAlignment="1" applyProtection="1">
      <alignment horizontal="center"/>
    </xf>
    <xf numFmtId="0" fontId="1" fillId="12" borderId="49" xfId="0" applyFont="1" applyFill="1" applyBorder="1" applyAlignment="1" applyProtection="1">
      <alignment horizontal="center"/>
    </xf>
    <xf numFmtId="0" fontId="1" fillId="12" borderId="45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8" xfId="0" applyBorder="1" applyProtection="1"/>
    <xf numFmtId="164" fontId="1" fillId="4" borderId="51" xfId="0" applyNumberFormat="1" applyFont="1" applyFill="1" applyBorder="1" applyAlignment="1" applyProtection="1">
      <alignment horizontal="center" vertical="center"/>
    </xf>
    <xf numFmtId="166" fontId="1" fillId="13" borderId="51" xfId="0" applyNumberFormat="1" applyFont="1" applyFill="1" applyBorder="1" applyAlignment="1" applyProtection="1">
      <alignment horizontal="center" vertical="center"/>
    </xf>
    <xf numFmtId="164" fontId="1" fillId="13" borderId="39" xfId="0" applyNumberFormat="1" applyFont="1" applyFill="1" applyBorder="1" applyAlignment="1" applyProtection="1">
      <alignment horizontal="center" vertical="center"/>
    </xf>
    <xf numFmtId="0" fontId="1" fillId="12" borderId="50" xfId="0" applyFont="1" applyFill="1" applyBorder="1" applyAlignment="1" applyProtection="1">
      <alignment horizontal="center"/>
    </xf>
    <xf numFmtId="0" fontId="1" fillId="12" borderId="51" xfId="0" applyFont="1" applyFill="1" applyBorder="1" applyAlignment="1" applyProtection="1">
      <alignment horizontal="center"/>
    </xf>
    <xf numFmtId="0" fontId="1" fillId="12" borderId="52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3" fontId="8" fillId="4" borderId="33" xfId="0" applyNumberFormat="1" applyFont="1" applyFill="1" applyBorder="1" applyAlignment="1" applyProtection="1">
      <alignment vertical="center"/>
    </xf>
    <xf numFmtId="2" fontId="8" fillId="13" borderId="17" xfId="0" applyNumberFormat="1" applyFont="1" applyFill="1" applyBorder="1" applyAlignment="1" applyProtection="1">
      <alignment vertical="center"/>
    </xf>
    <xf numFmtId="3" fontId="8" fillId="13" borderId="6" xfId="0" applyNumberFormat="1" applyFont="1" applyFill="1" applyBorder="1" applyAlignment="1" applyProtection="1">
      <alignment vertical="center"/>
    </xf>
    <xf numFmtId="3" fontId="8" fillId="12" borderId="46" xfId="0" applyNumberFormat="1" applyFont="1" applyFill="1" applyBorder="1" applyAlignment="1" applyProtection="1">
      <alignment horizontal="right" vertical="center"/>
    </xf>
    <xf numFmtId="4" fontId="8" fillId="12" borderId="46" xfId="0" applyNumberFormat="1" applyFont="1" applyFill="1" applyBorder="1" applyAlignment="1" applyProtection="1">
      <alignment horizontal="center" vertical="center"/>
    </xf>
    <xf numFmtId="4" fontId="8" fillId="12" borderId="47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vertical="center"/>
    </xf>
    <xf numFmtId="0" fontId="0" fillId="5" borderId="21" xfId="0" applyFill="1" applyBorder="1" applyAlignment="1" applyProtection="1">
      <alignment vertical="center"/>
    </xf>
    <xf numFmtId="2" fontId="0" fillId="13" borderId="14" xfId="0" applyNumberFormat="1" applyFill="1" applyBorder="1" applyAlignment="1" applyProtection="1">
      <alignment vertical="center"/>
    </xf>
    <xf numFmtId="3" fontId="0" fillId="13" borderId="10" xfId="0" applyNumberFormat="1" applyFill="1" applyBorder="1" applyAlignment="1" applyProtection="1">
      <alignment vertical="center"/>
    </xf>
    <xf numFmtId="3" fontId="0" fillId="12" borderId="4" xfId="0" applyNumberFormat="1" applyFill="1" applyBorder="1" applyAlignment="1" applyProtection="1">
      <alignment horizontal="right" vertical="center"/>
    </xf>
    <xf numFmtId="4" fontId="0" fillId="12" borderId="4" xfId="0" applyNumberFormat="1" applyFill="1" applyBorder="1" applyAlignment="1" applyProtection="1">
      <alignment horizontal="center" vertical="center"/>
    </xf>
    <xf numFmtId="4" fontId="0" fillId="12" borderId="10" xfId="0" applyNumberFormat="1" applyFill="1" applyBorder="1" applyAlignment="1" applyProtection="1">
      <alignment horizontal="right" vertical="center"/>
    </xf>
    <xf numFmtId="0" fontId="1" fillId="0" borderId="26" xfId="0" applyFont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2" fontId="0" fillId="13" borderId="27" xfId="0" applyNumberFormat="1" applyFill="1" applyBorder="1" applyAlignment="1" applyProtection="1">
      <alignment vertical="center"/>
    </xf>
    <xf numFmtId="3" fontId="0" fillId="13" borderId="19" xfId="0" applyNumberForma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7" fontId="1" fillId="4" borderId="28" xfId="0" applyNumberFormat="1" applyFont="1" applyFill="1" applyBorder="1" applyAlignment="1" applyProtection="1">
      <alignment vertical="center"/>
    </xf>
    <xf numFmtId="2" fontId="1" fillId="13" borderId="7" xfId="0" applyNumberFormat="1" applyFont="1" applyFill="1" applyBorder="1" applyAlignment="1" applyProtection="1">
      <alignment vertical="center"/>
    </xf>
    <xf numFmtId="3" fontId="1" fillId="13" borderId="11" xfId="0" applyNumberFormat="1" applyFont="1" applyFill="1" applyBorder="1" applyAlignment="1" applyProtection="1">
      <alignment vertical="center"/>
    </xf>
    <xf numFmtId="3" fontId="1" fillId="12" borderId="34" xfId="0" applyNumberFormat="1" applyFont="1" applyFill="1" applyBorder="1" applyAlignment="1" applyProtection="1">
      <alignment horizontal="right" vertical="center"/>
    </xf>
    <xf numFmtId="4" fontId="1" fillId="12" borderId="34" xfId="0" applyNumberFormat="1" applyFont="1" applyFill="1" applyBorder="1" applyAlignment="1" applyProtection="1">
      <alignment horizontal="center" vertical="center"/>
    </xf>
    <xf numFmtId="4" fontId="1" fillId="12" borderId="19" xfId="0" applyNumberFormat="1" applyFont="1" applyFill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right" vertical="center"/>
    </xf>
    <xf numFmtId="3" fontId="11" fillId="2" borderId="43" xfId="0" applyNumberFormat="1" applyFont="1" applyFill="1" applyBorder="1" applyAlignment="1" applyProtection="1">
      <alignment vertical="center"/>
    </xf>
    <xf numFmtId="0" fontId="10" fillId="2" borderId="36" xfId="0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center" vertical="center"/>
    </xf>
    <xf numFmtId="3" fontId="11" fillId="12" borderId="35" xfId="0" applyNumberFormat="1" applyFont="1" applyFill="1" applyBorder="1" applyAlignment="1" applyProtection="1">
      <alignment horizontal="right" vertical="center"/>
    </xf>
    <xf numFmtId="3" fontId="10" fillId="12" borderId="43" xfId="0" applyNumberFormat="1" applyFont="1" applyFill="1" applyBorder="1" applyAlignment="1" applyProtection="1">
      <alignment horizontal="right" vertical="center"/>
    </xf>
    <xf numFmtId="4" fontId="10" fillId="0" borderId="16" xfId="0" applyNumberFormat="1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8" fillId="0" borderId="18" xfId="0" applyFont="1" applyBorder="1" applyProtection="1"/>
    <xf numFmtId="3" fontId="0" fillId="0" borderId="6" xfId="0" applyNumberFormat="1" applyBorder="1" applyAlignment="1" applyProtection="1">
      <alignment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4" fontId="8" fillId="0" borderId="6" xfId="0" applyNumberFormat="1" applyFont="1" applyFill="1" applyBorder="1" applyAlignment="1" applyProtection="1">
      <alignment horizontal="right" vertical="center"/>
    </xf>
    <xf numFmtId="4" fontId="0" fillId="0" borderId="8" xfId="0" applyNumberFormat="1" applyFill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vertical="center"/>
    </xf>
    <xf numFmtId="167" fontId="8" fillId="0" borderId="11" xfId="0" applyNumberFormat="1" applyFont="1" applyBorder="1" applyAlignment="1" applyProtection="1">
      <alignment vertical="center"/>
    </xf>
    <xf numFmtId="3" fontId="8" fillId="0" borderId="41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Border="1" applyAlignment="1" applyProtection="1">
      <alignment horizontal="center" vertical="center"/>
    </xf>
    <xf numFmtId="167" fontId="0" fillId="0" borderId="3" xfId="0" applyNumberFormat="1" applyFill="1" applyBorder="1" applyAlignment="1" applyProtection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vertical="center"/>
    </xf>
    <xf numFmtId="3" fontId="11" fillId="0" borderId="44" xfId="0" applyNumberFormat="1" applyFont="1" applyBorder="1" applyAlignment="1" applyProtection="1">
      <alignment vertical="center"/>
    </xf>
    <xf numFmtId="3" fontId="10" fillId="0" borderId="37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Fill="1" applyBorder="1" applyAlignment="1" applyProtection="1">
      <alignment horizontal="right" vertical="center"/>
    </xf>
    <xf numFmtId="4" fontId="10" fillId="0" borderId="36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 applyBorder="1" applyProtection="1"/>
    <xf numFmtId="0" fontId="1" fillId="5" borderId="8" xfId="0" applyFont="1" applyFill="1" applyBorder="1" applyProtection="1"/>
    <xf numFmtId="4" fontId="8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center"/>
    </xf>
    <xf numFmtId="0" fontId="1" fillId="6" borderId="1" xfId="0" applyFont="1" applyFill="1" applyBorder="1" applyProtection="1"/>
    <xf numFmtId="4" fontId="0" fillId="6" borderId="5" xfId="0" applyNumberFormat="1" applyFill="1" applyBorder="1" applyAlignment="1" applyProtection="1">
      <alignment horizontal="center"/>
    </xf>
    <xf numFmtId="4" fontId="0" fillId="6" borderId="23" xfId="0" applyNumberFormat="1" applyFill="1" applyBorder="1" applyAlignment="1" applyProtection="1">
      <alignment horizontal="center"/>
    </xf>
    <xf numFmtId="4" fontId="8" fillId="6" borderId="6" xfId="0" applyNumberFormat="1" applyFont="1" applyFill="1" applyBorder="1" applyAlignment="1" applyProtection="1">
      <alignment horizontal="center"/>
    </xf>
    <xf numFmtId="0" fontId="8" fillId="6" borderId="2" xfId="0" applyFont="1" applyFill="1" applyBorder="1" applyProtection="1"/>
    <xf numFmtId="3" fontId="0" fillId="6" borderId="4" xfId="0" applyNumberFormat="1" applyFill="1" applyBorder="1" applyAlignment="1" applyProtection="1">
      <alignment horizontal="center"/>
    </xf>
    <xf numFmtId="3" fontId="1" fillId="6" borderId="4" xfId="0" applyNumberFormat="1" applyFont="1" applyFill="1" applyBorder="1" applyAlignment="1" applyProtection="1">
      <alignment horizontal="center"/>
    </xf>
    <xf numFmtId="3" fontId="0" fillId="10" borderId="24" xfId="0" applyNumberFormat="1" applyFill="1" applyBorder="1" applyAlignment="1" applyProtection="1">
      <alignment horizontal="center"/>
    </xf>
    <xf numFmtId="1" fontId="0" fillId="10" borderId="19" xfId="0" applyNumberFormat="1" applyFill="1" applyBorder="1" applyAlignment="1" applyProtection="1">
      <alignment horizontal="center"/>
    </xf>
    <xf numFmtId="0" fontId="8" fillId="7" borderId="3" xfId="0" applyFont="1" applyFill="1" applyBorder="1" applyProtection="1"/>
    <xf numFmtId="3" fontId="2" fillId="7" borderId="7" xfId="0" applyNumberFormat="1" applyFont="1" applyFill="1" applyBorder="1" applyAlignment="1" applyProtection="1">
      <alignment horizontal="center"/>
    </xf>
    <xf numFmtId="3" fontId="2" fillId="7" borderId="7" xfId="0" applyNumberFormat="1" applyFont="1" applyFill="1" applyBorder="1" applyAlignment="1" applyProtection="1">
      <alignment horizontal="center" vertical="center"/>
    </xf>
    <xf numFmtId="3" fontId="7" fillId="7" borderId="25" xfId="0" applyNumberFormat="1" applyFont="1" applyFill="1" applyBorder="1" applyAlignment="1" applyProtection="1">
      <alignment horizontal="center" vertical="center"/>
    </xf>
    <xf numFmtId="3" fontId="0" fillId="11" borderId="11" xfId="0" applyNumberFormat="1" applyFill="1" applyBorder="1" applyAlignment="1" applyProtection="1">
      <alignment horizontal="center" vertical="center"/>
    </xf>
    <xf numFmtId="0" fontId="2" fillId="0" borderId="8" xfId="0" applyFont="1" applyBorder="1" applyProtection="1"/>
    <xf numFmtId="164" fontId="0" fillId="0" borderId="0" xfId="0" applyNumberFormat="1" applyProtection="1"/>
    <xf numFmtId="164" fontId="2" fillId="0" borderId="0" xfId="0" applyNumberFormat="1" applyFont="1" applyBorder="1" applyProtection="1"/>
    <xf numFmtId="0" fontId="2" fillId="0" borderId="0" xfId="0" applyFont="1" applyBorder="1" applyProtection="1"/>
    <xf numFmtId="164" fontId="2" fillId="0" borderId="0" xfId="0" applyNumberFormat="1" applyFont="1" applyProtection="1"/>
    <xf numFmtId="0" fontId="8" fillId="0" borderId="15" xfId="0" applyFont="1" applyBorder="1" applyProtection="1"/>
    <xf numFmtId="0" fontId="9" fillId="0" borderId="38" xfId="0" applyFont="1" applyFill="1" applyBorder="1" applyAlignmen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8" fillId="8" borderId="13" xfId="0" applyFont="1" applyFill="1" applyBorder="1" applyAlignment="1" applyProtection="1">
      <alignment horizontal="center" vertical="center"/>
    </xf>
    <xf numFmtId="0" fontId="8" fillId="8" borderId="32" xfId="0" applyFont="1" applyFill="1" applyBorder="1" applyAlignment="1" applyProtection="1">
      <alignment horizontal="center" vertical="center"/>
    </xf>
    <xf numFmtId="0" fontId="9" fillId="9" borderId="38" xfId="0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6" fillId="0" borderId="53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8" fillId="8" borderId="16" xfId="0" applyFont="1" applyFill="1" applyBorder="1" applyAlignment="1" applyProtection="1">
      <alignment horizontal="left" vertical="center"/>
    </xf>
    <xf numFmtId="0" fontId="8" fillId="8" borderId="12" xfId="0" applyFont="1" applyFill="1" applyBorder="1" applyAlignment="1" applyProtection="1">
      <alignment horizontal="left" vertical="center"/>
    </xf>
    <xf numFmtId="0" fontId="8" fillId="8" borderId="8" xfId="0" applyFont="1" applyFill="1" applyBorder="1" applyAlignment="1" applyProtection="1">
      <alignment horizontal="center" vertical="center"/>
    </xf>
    <xf numFmtId="0" fontId="8" fillId="8" borderId="39" xfId="0" applyFont="1" applyFill="1" applyBorder="1" applyAlignment="1" applyProtection="1">
      <alignment horizontal="center" vertical="center"/>
    </xf>
    <xf numFmtId="0" fontId="1" fillId="4" borderId="39" xfId="0" applyFont="1" applyFill="1" applyBorder="1" applyAlignment="1" applyProtection="1">
      <alignment vertical="top" wrapText="1"/>
    </xf>
    <xf numFmtId="0" fontId="0" fillId="0" borderId="39" xfId="0" applyBorder="1" applyAlignment="1" applyProtection="1">
      <alignment vertical="top" wrapText="1"/>
    </xf>
    <xf numFmtId="0" fontId="9" fillId="9" borderId="38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00FF"/>
      <color rgb="FF99FF99"/>
      <color rgb="FFCCFFCC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CENTER OF GRAVITY LIMITS</a:t>
            </a:r>
          </a:p>
        </c:rich>
      </c:tx>
      <c:layout>
        <c:manualLayout>
          <c:xMode val="edge"/>
          <c:yMode val="edge"/>
          <c:x val="0.25085544144500405"/>
          <c:y val="3.0881764779402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9459608932941"/>
          <c:y val="0.15278372450803732"/>
          <c:w val="0.79969667517463361"/>
          <c:h val="0.7070310655425131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Definitions!$C$3:$C$7</c:f>
              <c:numCache>
                <c:formatCode>0.000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41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99-453C-84B4-AD576539F27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Definitions!$C$10:$C$11</c:f>
              <c:numCache>
                <c:formatCode>0.000</c:formatCode>
                <c:ptCount val="2"/>
                <c:pt idx="0">
                  <c:v>37.689969604863222</c:v>
                </c:pt>
                <c:pt idx="1">
                  <c:v>37.689969604863222</c:v>
                </c:pt>
              </c:numCache>
            </c:numRef>
          </c:xVal>
          <c:yVal>
            <c:numRef>
              <c:f>Definitions!$B$10:$B$11</c:f>
              <c:numCache>
                <c:formatCode>0.0</c:formatCode>
                <c:ptCount val="2"/>
                <c:pt idx="0">
                  <c:v>1974</c:v>
                </c:pt>
                <c:pt idx="1">
                  <c:v>1974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99-453C-84B4-AD576539F270}"/>
            </c:ext>
          </c:extLst>
        </c:ser>
        <c:ser>
          <c:idx val="2"/>
          <c:order val="2"/>
          <c:xVal>
            <c:numRef>
              <c:f>Definitions!$C$8:$C$9</c:f>
              <c:numCache>
                <c:formatCode>0.000</c:formatCode>
                <c:ptCount val="2"/>
                <c:pt idx="0">
                  <c:v>39.5</c:v>
                </c:pt>
                <c:pt idx="1">
                  <c:v>46</c:v>
                </c:pt>
              </c:numCache>
            </c:numRef>
          </c:xVal>
          <c:yVal>
            <c:numRef>
              <c:f>Definitions!$B$8:$B$9</c:f>
              <c:numCache>
                <c:formatCode>0.0</c:formatCode>
                <c:ptCount val="2"/>
                <c:pt idx="0">
                  <c:v>2950</c:v>
                </c:pt>
                <c:pt idx="1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D-4AE8-A338-9E404081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96992"/>
        <c:axId val="127279488"/>
      </c:scatterChart>
      <c:valAx>
        <c:axId val="126596992"/>
        <c:scaling>
          <c:orientation val="minMax"/>
          <c:max val="47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AIRPLANE C.G. LOCATION IN.LBS</a:t>
                </a:r>
              </a:p>
            </c:rich>
          </c:tx>
          <c:layout>
            <c:manualLayout>
              <c:xMode val="edge"/>
              <c:yMode val="edge"/>
              <c:x val="0.31622993211520639"/>
              <c:y val="0.918327709036370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27279488"/>
        <c:crosses val="autoZero"/>
        <c:crossBetween val="midCat"/>
        <c:majorUnit val="1"/>
        <c:minorUnit val="0.2"/>
      </c:valAx>
      <c:valAx>
        <c:axId val="127279488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LOADES AIRPLANE WEIGHT LBS</a:t>
                </a:r>
              </a:p>
            </c:rich>
          </c:tx>
          <c:layout>
            <c:manualLayout>
              <c:xMode val="edge"/>
              <c:yMode val="edge"/>
              <c:x val="2.8886317201487186E-2"/>
              <c:y val="0.253556013831604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26596992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H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CENTER OF GRAVITY MOMENT ENVELOPE</a:t>
            </a:r>
          </a:p>
        </c:rich>
      </c:tx>
      <c:layout>
        <c:manualLayout>
          <c:xMode val="edge"/>
          <c:yMode val="edge"/>
          <c:x val="0.24094619987422664"/>
          <c:y val="3.4206416346716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0322024120685"/>
          <c:y val="0.16675574559059331"/>
          <c:w val="0.8248344470642921"/>
          <c:h val="0.6755745590593266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Definitions!$D$3:$D$7</c:f>
              <c:numCache>
                <c:formatCode>0.0</c:formatCode>
                <c:ptCount val="5"/>
                <c:pt idx="0">
                  <c:v>59.4</c:v>
                </c:pt>
                <c:pt idx="1">
                  <c:v>74.25</c:v>
                </c:pt>
                <c:pt idx="2">
                  <c:v>127.1</c:v>
                </c:pt>
                <c:pt idx="3">
                  <c:v>142.6</c:v>
                </c:pt>
                <c:pt idx="4">
                  <c:v>82.8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DF-40B3-8285-310DF43ADF2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Definitions!$D$10:$D$11</c:f>
              <c:numCache>
                <c:formatCode>0.0</c:formatCode>
                <c:ptCount val="2"/>
                <c:pt idx="0">
                  <c:v>74.400000000000006</c:v>
                </c:pt>
                <c:pt idx="1">
                  <c:v>74.400000000000006</c:v>
                </c:pt>
              </c:numCache>
            </c:numRef>
          </c:xVal>
          <c:yVal>
            <c:numRef>
              <c:f>Definitions!$B$10:$B$11</c:f>
              <c:numCache>
                <c:formatCode>0.0</c:formatCode>
                <c:ptCount val="2"/>
                <c:pt idx="0">
                  <c:v>1974</c:v>
                </c:pt>
                <c:pt idx="1">
                  <c:v>1974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DF-40B3-8285-310DF43ADF2E}"/>
            </c:ext>
          </c:extLst>
        </c:ser>
        <c:ser>
          <c:idx val="2"/>
          <c:order val="2"/>
          <c:xVal>
            <c:numRef>
              <c:f>Definitions!$D$8:$D$9</c:f>
              <c:numCache>
                <c:formatCode>0.0</c:formatCode>
                <c:ptCount val="2"/>
                <c:pt idx="0">
                  <c:v>116.52500000000001</c:v>
                </c:pt>
                <c:pt idx="1">
                  <c:v>135.69999999999999</c:v>
                </c:pt>
              </c:numCache>
            </c:numRef>
          </c:xVal>
          <c:yVal>
            <c:numRef>
              <c:f>Definitions!$B$8:$B$9</c:f>
              <c:numCache>
                <c:formatCode>0.0</c:formatCode>
                <c:ptCount val="2"/>
                <c:pt idx="0">
                  <c:v>2950</c:v>
                </c:pt>
                <c:pt idx="1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F8-44BF-A39F-45B0DECD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2464"/>
        <c:axId val="127353216"/>
      </c:scatterChart>
      <c:valAx>
        <c:axId val="127342464"/>
        <c:scaling>
          <c:orientation val="minMax"/>
          <c:max val="145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LOADED AIRPLANE MOMNET/1000 LBS-IN</a:t>
                </a:r>
              </a:p>
            </c:rich>
          </c:tx>
          <c:layout>
            <c:manualLayout>
              <c:xMode val="edge"/>
              <c:yMode val="edge"/>
              <c:x val="0.32963808146650247"/>
              <c:y val="0.910742988221513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27353216"/>
        <c:crosses val="autoZero"/>
        <c:crossBetween val="midCat"/>
        <c:majorUnit val="5"/>
        <c:minorUnit val="1"/>
      </c:valAx>
      <c:valAx>
        <c:axId val="127353216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LOADED AIRPLANE WEIGHT LBS</a:t>
                </a:r>
              </a:p>
            </c:rich>
          </c:tx>
          <c:layout>
            <c:manualLayout>
              <c:xMode val="edge"/>
              <c:yMode val="edge"/>
              <c:x val="2.8085684052764567E-2"/>
              <c:y val="0.26723688206329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2734246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H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Scroll" dx="22" fmlaLink="$C$4" horiz="1" max="373" noThreeD="1" page="10" val="0"/>
</file>

<file path=xl/ctrlProps/ctrlProp2.xml><?xml version="1.0" encoding="utf-8"?>
<formControlPr xmlns="http://schemas.microsoft.com/office/spreadsheetml/2009/9/main" objectType="Scroll" dx="22" fmlaLink="$C$5" horiz="1" max="670" noThreeD="1" page="10" val="0"/>
</file>

<file path=xl/ctrlProps/ctrlProp3.xml><?xml version="1.0" encoding="utf-8"?>
<formControlPr xmlns="http://schemas.microsoft.com/office/spreadsheetml/2009/9/main" objectType="Scroll" dx="22" fmlaLink="$C$6" horiz="1" max="670" noThreeD="1" page="10" val="0"/>
</file>

<file path=xl/ctrlProps/ctrlProp4.xml><?xml version="1.0" encoding="utf-8"?>
<formControlPr xmlns="http://schemas.microsoft.com/office/spreadsheetml/2009/9/main" objectType="Scroll" dx="22" fmlaLink="$C$7" horiz="1" max="120" noThreeD="1" page="10" val="0"/>
</file>

<file path=xl/ctrlProps/ctrlProp5.xml><?xml version="1.0" encoding="utf-8"?>
<formControlPr xmlns="http://schemas.microsoft.com/office/spreadsheetml/2009/9/main" objectType="Scroll" dx="22" fmlaLink="$C$8" horiz="1" max="80" noThreeD="1" page="10" val="0"/>
</file>

<file path=xl/ctrlProps/ctrlProp6.xml><?xml version="1.0" encoding="utf-8"?>
<formControlPr xmlns="http://schemas.microsoft.com/office/spreadsheetml/2009/9/main" objectType="Scroll" dx="22" fmlaLink="$C$9" horiz="1" max="80" noThreeD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6</xdr:row>
      <xdr:rowOff>236220</xdr:rowOff>
    </xdr:from>
    <xdr:to>
      <xdr:col>1</xdr:col>
      <xdr:colOff>22860</xdr:colOff>
      <xdr:row>14</xdr:row>
      <xdr:rowOff>160020</xdr:rowOff>
    </xdr:to>
    <xdr:sp macro="" textlink="">
      <xdr:nvSpPr>
        <xdr:cNvPr id="1087" name="Line 2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V="1">
          <a:off x="693420" y="1554480"/>
          <a:ext cx="777240" cy="1386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657859</xdr:colOff>
      <xdr:row>0</xdr:row>
      <xdr:rowOff>1693</xdr:rowOff>
    </xdr:from>
    <xdr:to>
      <xdr:col>14</xdr:col>
      <xdr:colOff>872066</xdr:colOff>
      <xdr:row>26</xdr:row>
      <xdr:rowOff>169332</xdr:rowOff>
    </xdr:to>
    <xdr:graphicFrame macro="">
      <xdr:nvGraphicFramePr>
        <xdr:cNvPr id="1088" name="Diagramm 4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8</xdr:row>
      <xdr:rowOff>50800</xdr:rowOff>
    </xdr:from>
    <xdr:to>
      <xdr:col>1</xdr:col>
      <xdr:colOff>1498600</xdr:colOff>
      <xdr:row>8</xdr:row>
      <xdr:rowOff>203200</xdr:rowOff>
    </xdr:to>
    <xdr:sp macro="" textlink="">
      <xdr:nvSpPr>
        <xdr:cNvPr id="1070" name="ScrollBar5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50800</xdr:colOff>
      <xdr:row>3</xdr:row>
      <xdr:rowOff>50800</xdr:rowOff>
    </xdr:from>
    <xdr:to>
      <xdr:col>1</xdr:col>
      <xdr:colOff>1498600</xdr:colOff>
      <xdr:row>3</xdr:row>
      <xdr:rowOff>206248</xdr:rowOff>
    </xdr:to>
    <xdr:sp macro="" textlink="">
      <xdr:nvSpPr>
        <xdr:cNvPr id="1071" name="ScrollBar1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50800</xdr:colOff>
      <xdr:row>4</xdr:row>
      <xdr:rowOff>50800</xdr:rowOff>
    </xdr:from>
    <xdr:to>
      <xdr:col>1</xdr:col>
      <xdr:colOff>1498600</xdr:colOff>
      <xdr:row>4</xdr:row>
      <xdr:rowOff>203200</xdr:rowOff>
    </xdr:to>
    <xdr:sp macro="" textlink="">
      <xdr:nvSpPr>
        <xdr:cNvPr id="1073" name="ScrollBar2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50800</xdr:colOff>
      <xdr:row>5</xdr:row>
      <xdr:rowOff>50800</xdr:rowOff>
    </xdr:from>
    <xdr:to>
      <xdr:col>1</xdr:col>
      <xdr:colOff>1498600</xdr:colOff>
      <xdr:row>5</xdr:row>
      <xdr:rowOff>203200</xdr:rowOff>
    </xdr:to>
    <xdr:sp macro="" textlink="">
      <xdr:nvSpPr>
        <xdr:cNvPr id="1074" name="ScrollBar3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50800</xdr:colOff>
      <xdr:row>6</xdr:row>
      <xdr:rowOff>50800</xdr:rowOff>
    </xdr:from>
    <xdr:to>
      <xdr:col>1</xdr:col>
      <xdr:colOff>1498600</xdr:colOff>
      <xdr:row>6</xdr:row>
      <xdr:rowOff>203200</xdr:rowOff>
    </xdr:to>
    <xdr:sp macro="" textlink="">
      <xdr:nvSpPr>
        <xdr:cNvPr id="1076" name="ScrollBar4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50800</xdr:colOff>
      <xdr:row>7</xdr:row>
      <xdr:rowOff>50800</xdr:rowOff>
    </xdr:from>
    <xdr:to>
      <xdr:col>1</xdr:col>
      <xdr:colOff>1498600</xdr:colOff>
      <xdr:row>7</xdr:row>
      <xdr:rowOff>203200</xdr:rowOff>
    </xdr:to>
    <xdr:sp macro="" textlink="">
      <xdr:nvSpPr>
        <xdr:cNvPr id="1077" name="ScrollBar6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685800</xdr:colOff>
      <xdr:row>9</xdr:row>
      <xdr:rowOff>101599</xdr:rowOff>
    </xdr:from>
    <xdr:to>
      <xdr:col>2</xdr:col>
      <xdr:colOff>143933</xdr:colOff>
      <xdr:row>17</xdr:row>
      <xdr:rowOff>57147</xdr:rowOff>
    </xdr:to>
    <xdr:sp macro="" textlink="">
      <xdr:nvSpPr>
        <xdr:cNvPr id="19" name="Line 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685800" y="2167466"/>
          <a:ext cx="2895600" cy="1691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6</xdr:row>
      <xdr:rowOff>85725</xdr:rowOff>
    </xdr:from>
    <xdr:to>
      <xdr:col>11</xdr:col>
      <xdr:colOff>342900</xdr:colOff>
      <xdr:row>7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15325" y="1371600"/>
          <a:ext cx="6572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olidFill>
                <a:srgbClr val="FF00FF"/>
              </a:solidFill>
            </a:rPr>
            <a:t>MLW</a:t>
          </a:r>
        </a:p>
      </xdr:txBody>
    </xdr:sp>
    <xdr:clientData/>
  </xdr:twoCellAnchor>
  <xdr:twoCellAnchor>
    <xdr:from>
      <xdr:col>10</xdr:col>
      <xdr:colOff>695326</xdr:colOff>
      <xdr:row>4</xdr:row>
      <xdr:rowOff>142876</xdr:rowOff>
    </xdr:from>
    <xdr:to>
      <xdr:col>11</xdr:col>
      <xdr:colOff>733426</xdr:colOff>
      <xdr:row>5</xdr:row>
      <xdr:rowOff>190501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62976" y="952501"/>
          <a:ext cx="8001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olidFill>
                <a:srgbClr val="FF00FF"/>
              </a:solidFill>
            </a:rPr>
            <a:t>MTOW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</xdr:row>
          <xdr:rowOff>25400</xdr:rowOff>
        </xdr:from>
        <xdr:to>
          <xdr:col>1</xdr:col>
          <xdr:colOff>1562100</xdr:colOff>
          <xdr:row>3</xdr:row>
          <xdr:rowOff>203200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</xdr:row>
          <xdr:rowOff>12700</xdr:rowOff>
        </xdr:from>
        <xdr:to>
          <xdr:col>1</xdr:col>
          <xdr:colOff>1562100</xdr:colOff>
          <xdr:row>4</xdr:row>
          <xdr:rowOff>203200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</xdr:row>
          <xdr:rowOff>12700</xdr:rowOff>
        </xdr:from>
        <xdr:to>
          <xdr:col>1</xdr:col>
          <xdr:colOff>1562100</xdr:colOff>
          <xdr:row>5</xdr:row>
          <xdr:rowOff>215900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6</xdr:row>
          <xdr:rowOff>25400</xdr:rowOff>
        </xdr:from>
        <xdr:to>
          <xdr:col>1</xdr:col>
          <xdr:colOff>1562100</xdr:colOff>
          <xdr:row>6</xdr:row>
          <xdr:rowOff>203200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7</xdr:row>
          <xdr:rowOff>25400</xdr:rowOff>
        </xdr:from>
        <xdr:to>
          <xdr:col>1</xdr:col>
          <xdr:colOff>1562100</xdr:colOff>
          <xdr:row>7</xdr:row>
          <xdr:rowOff>215900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8</xdr:row>
          <xdr:rowOff>38100</xdr:rowOff>
        </xdr:from>
        <xdr:to>
          <xdr:col>1</xdr:col>
          <xdr:colOff>1574800</xdr:colOff>
          <xdr:row>8</xdr:row>
          <xdr:rowOff>215900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11</xdr:row>
      <xdr:rowOff>45719</xdr:rowOff>
    </xdr:from>
    <xdr:to>
      <xdr:col>6</xdr:col>
      <xdr:colOff>365760</xdr:colOff>
      <xdr:row>37</xdr:row>
      <xdr:rowOff>9524</xdr:rowOff>
    </xdr:to>
    <xdr:graphicFrame macro="">
      <xdr:nvGraphicFramePr>
        <xdr:cNvPr id="3099" name="Diagramm 1042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47"/>
  <sheetViews>
    <sheetView tabSelected="1" zoomScale="150" zoomScaleNormal="150" workbookViewId="0">
      <selection sqref="A1:A2"/>
    </sheetView>
  </sheetViews>
  <sheetFormatPr baseColWidth="10" defaultColWidth="11.5" defaultRowHeight="13" x14ac:dyDescent="0.15"/>
  <cols>
    <col min="1" max="1" width="21.1640625" style="32" customWidth="1"/>
    <col min="2" max="2" width="23.83203125" style="32" customWidth="1"/>
    <col min="3" max="3" width="8.1640625" style="114" customWidth="1"/>
    <col min="4" max="4" width="8" style="32" customWidth="1"/>
    <col min="5" max="5" width="8.6640625" style="114" customWidth="1"/>
    <col min="6" max="6" width="8.83203125" style="32" customWidth="1"/>
    <col min="7" max="7" width="7.6640625" style="32" customWidth="1"/>
    <col min="8" max="8" width="8.6640625" style="32" customWidth="1"/>
    <col min="9" max="16384" width="11.5" style="32"/>
  </cols>
  <sheetData>
    <row r="1" spans="1:16" x14ac:dyDescent="0.15">
      <c r="A1" s="127" t="s">
        <v>33</v>
      </c>
      <c r="B1" s="129" t="s">
        <v>34</v>
      </c>
      <c r="C1" s="24" t="s">
        <v>14</v>
      </c>
      <c r="D1" s="25" t="s">
        <v>0</v>
      </c>
      <c r="E1" s="26" t="s">
        <v>1</v>
      </c>
      <c r="F1" s="27" t="s">
        <v>14</v>
      </c>
      <c r="G1" s="28" t="s">
        <v>0</v>
      </c>
      <c r="H1" s="29" t="s">
        <v>1</v>
      </c>
      <c r="I1" s="30"/>
      <c r="J1" s="30"/>
      <c r="K1" s="30"/>
      <c r="L1" s="30"/>
      <c r="M1" s="31"/>
      <c r="P1" s="33"/>
    </row>
    <row r="2" spans="1:16" ht="14" thickBot="1" x14ac:dyDescent="0.2">
      <c r="A2" s="128"/>
      <c r="B2" s="130"/>
      <c r="C2" s="34" t="s">
        <v>23</v>
      </c>
      <c r="D2" s="35" t="s">
        <v>24</v>
      </c>
      <c r="E2" s="36" t="s">
        <v>30</v>
      </c>
      <c r="F2" s="37" t="s">
        <v>29</v>
      </c>
      <c r="G2" s="38" t="s">
        <v>31</v>
      </c>
      <c r="H2" s="39" t="s">
        <v>32</v>
      </c>
      <c r="I2" s="31"/>
      <c r="J2" s="31"/>
      <c r="K2" s="31"/>
      <c r="L2" s="31"/>
      <c r="M2" s="31"/>
      <c r="P2" s="33"/>
    </row>
    <row r="3" spans="1:16" ht="19.25" customHeight="1" thickBot="1" x14ac:dyDescent="0.2">
      <c r="A3" s="40" t="s">
        <v>6</v>
      </c>
      <c r="B3" s="41" t="s">
        <v>46</v>
      </c>
      <c r="C3" s="42">
        <v>1974</v>
      </c>
      <c r="D3" s="43">
        <f>E3/C3</f>
        <v>37.689969604863222</v>
      </c>
      <c r="E3" s="44">
        <v>74400</v>
      </c>
      <c r="F3" s="45">
        <f t="shared" ref="F3:F9" si="0">C3*kg_lbs</f>
        <v>895.39133838000009</v>
      </c>
      <c r="G3" s="46">
        <f t="shared" ref="G3:G9" si="1">D3*m_inch</f>
        <v>0.95732522796352582</v>
      </c>
      <c r="H3" s="47">
        <f>F3*G3</f>
        <v>857.18071713120003</v>
      </c>
      <c r="I3" s="31"/>
      <c r="J3" s="31"/>
      <c r="K3" s="31"/>
      <c r="L3" s="31"/>
      <c r="M3" s="31"/>
      <c r="P3" s="33"/>
    </row>
    <row r="4" spans="1:16" ht="19.25" customHeight="1" x14ac:dyDescent="0.15">
      <c r="A4" s="48" t="s">
        <v>12</v>
      </c>
      <c r="B4" s="49"/>
      <c r="C4" s="21">
        <v>0</v>
      </c>
      <c r="D4" s="50">
        <v>46.5</v>
      </c>
      <c r="E4" s="51">
        <f t="shared" ref="E4:E9" si="2">D4*C4</f>
        <v>0</v>
      </c>
      <c r="F4" s="52">
        <f t="shared" si="0"/>
        <v>0</v>
      </c>
      <c r="G4" s="53">
        <f t="shared" si="1"/>
        <v>1.1811</v>
      </c>
      <c r="H4" s="54">
        <f>F4*G4</f>
        <v>0</v>
      </c>
      <c r="I4" s="31"/>
      <c r="J4" s="31"/>
      <c r="K4" s="31"/>
      <c r="L4" s="31"/>
      <c r="M4" s="31"/>
      <c r="P4" s="33"/>
    </row>
    <row r="5" spans="1:16" ht="19.25" customHeight="1" x14ac:dyDescent="0.15">
      <c r="A5" s="48" t="s">
        <v>25</v>
      </c>
      <c r="B5" s="49"/>
      <c r="C5" s="22">
        <v>0</v>
      </c>
      <c r="D5" s="50">
        <v>37</v>
      </c>
      <c r="E5" s="51">
        <f t="shared" si="2"/>
        <v>0</v>
      </c>
      <c r="F5" s="52">
        <f t="shared" si="0"/>
        <v>0</v>
      </c>
      <c r="G5" s="53">
        <f t="shared" si="1"/>
        <v>0.93979999999999997</v>
      </c>
      <c r="H5" s="54">
        <f t="shared" ref="H5:H9" si="3">F5*G5</f>
        <v>0</v>
      </c>
      <c r="I5" s="31"/>
      <c r="J5" s="31"/>
      <c r="K5" s="31"/>
      <c r="L5" s="31"/>
      <c r="M5" s="31"/>
      <c r="P5" s="33"/>
    </row>
    <row r="6" spans="1:16" ht="19.25" customHeight="1" x14ac:dyDescent="0.15">
      <c r="A6" s="48" t="s">
        <v>26</v>
      </c>
      <c r="B6" s="49"/>
      <c r="C6" s="22">
        <v>0</v>
      </c>
      <c r="D6" s="50">
        <v>74</v>
      </c>
      <c r="E6" s="51">
        <f t="shared" si="2"/>
        <v>0</v>
      </c>
      <c r="F6" s="52">
        <f t="shared" si="0"/>
        <v>0</v>
      </c>
      <c r="G6" s="53">
        <f t="shared" si="1"/>
        <v>1.8795999999999999</v>
      </c>
      <c r="H6" s="54">
        <f t="shared" si="3"/>
        <v>0</v>
      </c>
      <c r="I6" s="31"/>
      <c r="J6" s="31"/>
      <c r="K6" s="31"/>
      <c r="L6" s="31"/>
      <c r="M6" s="31"/>
      <c r="P6" s="33"/>
    </row>
    <row r="7" spans="1:16" ht="19.25" customHeight="1" x14ac:dyDescent="0.15">
      <c r="A7" s="48" t="s">
        <v>38</v>
      </c>
      <c r="B7" s="49"/>
      <c r="C7" s="22">
        <v>0</v>
      </c>
      <c r="D7" s="50">
        <v>97</v>
      </c>
      <c r="E7" s="51">
        <f t="shared" si="2"/>
        <v>0</v>
      </c>
      <c r="F7" s="52">
        <f t="shared" si="0"/>
        <v>0</v>
      </c>
      <c r="G7" s="53">
        <f t="shared" si="1"/>
        <v>2.4638</v>
      </c>
      <c r="H7" s="54">
        <f t="shared" si="3"/>
        <v>0</v>
      </c>
      <c r="I7" s="31"/>
      <c r="J7" s="31"/>
      <c r="K7" s="31"/>
      <c r="L7" s="31"/>
      <c r="M7" s="31"/>
      <c r="P7" s="33"/>
    </row>
    <row r="8" spans="1:16" ht="19.25" customHeight="1" x14ac:dyDescent="0.15">
      <c r="A8" s="48" t="s">
        <v>39</v>
      </c>
      <c r="B8" s="49"/>
      <c r="C8" s="22">
        <v>0</v>
      </c>
      <c r="D8" s="50">
        <v>116</v>
      </c>
      <c r="E8" s="51">
        <f t="shared" si="2"/>
        <v>0</v>
      </c>
      <c r="F8" s="52">
        <f t="shared" si="0"/>
        <v>0</v>
      </c>
      <c r="G8" s="53">
        <f t="shared" si="1"/>
        <v>2.9463999999999997</v>
      </c>
      <c r="H8" s="54">
        <f t="shared" si="3"/>
        <v>0</v>
      </c>
      <c r="I8" s="31"/>
      <c r="J8" s="31"/>
      <c r="K8" s="31"/>
      <c r="L8" s="31"/>
      <c r="M8" s="31"/>
      <c r="P8" s="33"/>
    </row>
    <row r="9" spans="1:16" ht="19.25" customHeight="1" thickBot="1" x14ac:dyDescent="0.2">
      <c r="A9" s="55" t="s">
        <v>44</v>
      </c>
      <c r="B9" s="56"/>
      <c r="C9" s="23">
        <v>0</v>
      </c>
      <c r="D9" s="57">
        <v>129</v>
      </c>
      <c r="E9" s="58">
        <f t="shared" si="2"/>
        <v>0</v>
      </c>
      <c r="F9" s="52">
        <f t="shared" si="0"/>
        <v>0</v>
      </c>
      <c r="G9" s="53">
        <f t="shared" si="1"/>
        <v>3.2765999999999997</v>
      </c>
      <c r="H9" s="54">
        <f t="shared" si="3"/>
        <v>0</v>
      </c>
      <c r="I9" s="31"/>
      <c r="J9" s="31"/>
      <c r="K9" s="31"/>
      <c r="L9" s="31"/>
      <c r="M9" s="31"/>
      <c r="P9" s="33"/>
    </row>
    <row r="10" spans="1:16" ht="19.25" customHeight="1" thickBot="1" x14ac:dyDescent="0.2">
      <c r="A10" s="59" t="s">
        <v>9</v>
      </c>
      <c r="B10" s="60" t="str">
        <f>IF(C10&lt;=C11,"Weight Iniside Limit","Weight OUTSIDE Limit")</f>
        <v>Weight Iniside Limit</v>
      </c>
      <c r="C10" s="61">
        <f>SUM(C3:C9)</f>
        <v>1974</v>
      </c>
      <c r="D10" s="62">
        <f>E10/C10</f>
        <v>37.689969604863222</v>
      </c>
      <c r="E10" s="63">
        <f>SUM(E3:E9)</f>
        <v>74400</v>
      </c>
      <c r="F10" s="64">
        <f>SUM(F3:F9)</f>
        <v>895.39133838000009</v>
      </c>
      <c r="G10" s="65">
        <f>H10/F10</f>
        <v>0.95732522796352582</v>
      </c>
      <c r="H10" s="66">
        <f>SUM(H3:H9)</f>
        <v>857.18071713120003</v>
      </c>
      <c r="I10" s="31"/>
      <c r="J10" s="31"/>
      <c r="K10" s="31"/>
      <c r="L10" s="31"/>
      <c r="M10" s="31"/>
      <c r="P10" s="33"/>
    </row>
    <row r="11" spans="1:16" ht="19.25" customHeight="1" thickBot="1" x14ac:dyDescent="0.2">
      <c r="A11" s="67"/>
      <c r="B11" s="68" t="s">
        <v>54</v>
      </c>
      <c r="C11" s="69">
        <v>3100</v>
      </c>
      <c r="D11" s="70" t="s">
        <v>23</v>
      </c>
      <c r="E11" s="71"/>
      <c r="F11" s="72">
        <f>C11*kg_lbs</f>
        <v>1406.1363470000001</v>
      </c>
      <c r="G11" s="73" t="s">
        <v>29</v>
      </c>
      <c r="H11" s="74"/>
      <c r="I11" s="31"/>
      <c r="J11" s="31"/>
      <c r="K11" s="31"/>
      <c r="L11" s="31"/>
      <c r="M11" s="31"/>
      <c r="P11" s="33"/>
    </row>
    <row r="12" spans="1:16" ht="19.25" customHeight="1" x14ac:dyDescent="0.15">
      <c r="A12" s="75"/>
      <c r="B12" s="76" t="s">
        <v>49</v>
      </c>
      <c r="C12" s="77">
        <f>SUM(C3+C5+C6+C7+C8+C9)</f>
        <v>1974</v>
      </c>
      <c r="D12" s="78" t="s">
        <v>23</v>
      </c>
      <c r="E12" s="79"/>
      <c r="F12" s="80">
        <f>F3+F5+F6+F7+F8+F9</f>
        <v>895.39133838000009</v>
      </c>
      <c r="G12" s="81" t="s">
        <v>29</v>
      </c>
      <c r="H12" s="82"/>
      <c r="I12" s="31"/>
      <c r="J12" s="31"/>
      <c r="K12" s="31"/>
      <c r="L12" s="31"/>
      <c r="M12" s="31"/>
      <c r="P12" s="33"/>
    </row>
    <row r="13" spans="1:16" ht="19.25" customHeight="1" thickBot="1" x14ac:dyDescent="0.2">
      <c r="A13" s="75"/>
      <c r="B13" s="83" t="s">
        <v>55</v>
      </c>
      <c r="C13" s="84">
        <f>C11-C10</f>
        <v>1126</v>
      </c>
      <c r="D13" s="85" t="s">
        <v>23</v>
      </c>
      <c r="E13" s="86"/>
      <c r="F13" s="87">
        <f>F11-F10</f>
        <v>510.74500862000002</v>
      </c>
      <c r="G13" s="88" t="s">
        <v>29</v>
      </c>
      <c r="H13" s="82"/>
      <c r="I13" s="31"/>
      <c r="J13" s="31"/>
      <c r="K13" s="31"/>
      <c r="L13" s="31"/>
      <c r="M13" s="31"/>
      <c r="P13" s="33"/>
    </row>
    <row r="14" spans="1:16" ht="19.25" customHeight="1" thickBot="1" x14ac:dyDescent="0.2">
      <c r="A14" s="75"/>
      <c r="B14" s="89" t="s">
        <v>45</v>
      </c>
      <c r="C14" s="90">
        <v>2950</v>
      </c>
      <c r="D14" s="91" t="s">
        <v>23</v>
      </c>
      <c r="E14" s="92"/>
      <c r="F14" s="93">
        <f>C14*kg_lbs</f>
        <v>1338.0974915000002</v>
      </c>
      <c r="G14" s="94" t="s">
        <v>29</v>
      </c>
      <c r="H14" s="82"/>
      <c r="I14" s="31"/>
      <c r="J14" s="31"/>
      <c r="K14" s="31"/>
      <c r="L14" s="31"/>
      <c r="M14" s="31"/>
      <c r="P14" s="33"/>
    </row>
    <row r="15" spans="1:16" ht="13" customHeight="1" x14ac:dyDescent="0.15">
      <c r="A15" s="33"/>
      <c r="B15" s="131" t="s">
        <v>41</v>
      </c>
      <c r="C15" s="132"/>
      <c r="D15" s="95"/>
      <c r="E15" s="95"/>
      <c r="F15" s="31"/>
      <c r="G15" s="31"/>
      <c r="H15" s="31"/>
      <c r="I15" s="31"/>
      <c r="J15" s="31"/>
      <c r="K15" s="31"/>
      <c r="L15" s="31"/>
      <c r="M15" s="31"/>
      <c r="P15" s="33"/>
    </row>
    <row r="16" spans="1:16" ht="13" customHeight="1" x14ac:dyDescent="0.15">
      <c r="A16" s="96" t="s">
        <v>21</v>
      </c>
      <c r="B16" s="133" t="s">
        <v>42</v>
      </c>
      <c r="C16" s="134"/>
      <c r="D16" s="97"/>
      <c r="E16" s="98"/>
      <c r="F16" s="31"/>
      <c r="G16" s="31"/>
      <c r="H16" s="31"/>
      <c r="I16" s="31"/>
      <c r="J16" s="31"/>
      <c r="K16" s="31"/>
      <c r="L16" s="31"/>
      <c r="M16" s="31"/>
      <c r="P16" s="33"/>
    </row>
    <row r="17" spans="1:16" ht="13" customHeight="1" x14ac:dyDescent="0.15">
      <c r="A17" s="135" t="s">
        <v>52</v>
      </c>
      <c r="B17" s="133" t="s">
        <v>40</v>
      </c>
      <c r="C17" s="134"/>
      <c r="D17" s="97"/>
      <c r="E17" s="98"/>
      <c r="F17" s="31"/>
      <c r="G17" s="31"/>
      <c r="H17" s="31"/>
      <c r="I17" s="31"/>
      <c r="J17" s="31"/>
      <c r="K17" s="31"/>
      <c r="L17" s="31"/>
      <c r="M17" s="31"/>
      <c r="P17" s="33"/>
    </row>
    <row r="18" spans="1:16" ht="13" customHeight="1" thickBot="1" x14ac:dyDescent="0.2">
      <c r="A18" s="136"/>
      <c r="B18" s="122" t="s">
        <v>43</v>
      </c>
      <c r="C18" s="123"/>
      <c r="D18" s="97"/>
      <c r="E18" s="98"/>
      <c r="F18" s="31"/>
      <c r="G18" s="31"/>
      <c r="H18" s="31"/>
      <c r="I18" s="31"/>
      <c r="J18" s="31"/>
      <c r="K18" s="31"/>
      <c r="L18" s="31"/>
      <c r="M18" s="31"/>
      <c r="P18" s="33"/>
    </row>
    <row r="19" spans="1:16" ht="13" customHeight="1" x14ac:dyDescent="0.15">
      <c r="A19" s="33"/>
      <c r="B19" s="99" t="s">
        <v>12</v>
      </c>
      <c r="C19" s="100" t="s">
        <v>23</v>
      </c>
      <c r="D19" s="100" t="s">
        <v>28</v>
      </c>
      <c r="E19" s="101" t="s">
        <v>13</v>
      </c>
      <c r="F19" s="102" t="s">
        <v>29</v>
      </c>
      <c r="G19" s="31"/>
      <c r="H19" s="31"/>
      <c r="I19" s="31"/>
      <c r="J19" s="31"/>
      <c r="K19" s="31"/>
      <c r="L19" s="31"/>
      <c r="M19" s="31"/>
      <c r="P19" s="33"/>
    </row>
    <row r="20" spans="1:16" ht="13" customHeight="1" x14ac:dyDescent="0.15">
      <c r="A20" s="33"/>
      <c r="B20" s="103" t="s">
        <v>48</v>
      </c>
      <c r="C20" s="104">
        <f>D20*lbs_gal</f>
        <v>372.53885473814296</v>
      </c>
      <c r="D20" s="105">
        <v>62</v>
      </c>
      <c r="E20" s="106">
        <f>D20*liter_gal</f>
        <v>234.69553060799998</v>
      </c>
      <c r="F20" s="107">
        <f>D20*kg_gal</f>
        <v>168.98078203775998</v>
      </c>
      <c r="G20" s="31"/>
      <c r="H20" s="31"/>
      <c r="I20" s="31"/>
      <c r="J20" s="31"/>
      <c r="K20" s="31"/>
      <c r="L20" s="31"/>
      <c r="M20" s="31"/>
      <c r="P20" s="33"/>
    </row>
    <row r="21" spans="1:16" ht="13" customHeight="1" thickBot="1" x14ac:dyDescent="0.2">
      <c r="A21" s="33"/>
      <c r="B21" s="108" t="s">
        <v>53</v>
      </c>
      <c r="C21" s="109">
        <f>F21/kg_lbs</f>
        <v>0</v>
      </c>
      <c r="D21" s="110">
        <f>C4/lbs_gal</f>
        <v>0</v>
      </c>
      <c r="E21" s="111">
        <f>(+C4)*kg_lbs/liter_kg</f>
        <v>0</v>
      </c>
      <c r="F21" s="112">
        <f>F4</f>
        <v>0</v>
      </c>
      <c r="G21" s="31"/>
      <c r="H21" s="31"/>
      <c r="I21" s="31"/>
      <c r="J21" s="31"/>
      <c r="K21" s="31"/>
      <c r="L21" s="31"/>
      <c r="M21" s="31"/>
      <c r="P21" s="33"/>
    </row>
    <row r="22" spans="1:16" ht="13" customHeight="1" x14ac:dyDescent="0.15">
      <c r="A22" s="113"/>
      <c r="F22" s="31"/>
      <c r="G22" s="31"/>
      <c r="H22" s="31"/>
      <c r="I22" s="31"/>
      <c r="J22" s="31"/>
      <c r="K22" s="31"/>
      <c r="L22" s="31"/>
      <c r="M22" s="31"/>
      <c r="P22" s="33"/>
    </row>
    <row r="23" spans="1:16" ht="13" customHeight="1" x14ac:dyDescent="0.15">
      <c r="A23" s="113"/>
      <c r="B23" s="31"/>
      <c r="C23" s="115"/>
      <c r="D23" s="116"/>
      <c r="E23" s="115"/>
      <c r="F23" s="31"/>
      <c r="G23" s="31"/>
      <c r="H23" s="31"/>
      <c r="I23" s="31"/>
      <c r="J23" s="31"/>
      <c r="K23" s="31"/>
      <c r="L23" s="31"/>
      <c r="M23" s="31"/>
      <c r="P23" s="33"/>
    </row>
    <row r="24" spans="1:16" ht="13" customHeight="1" x14ac:dyDescent="0.15">
      <c r="A24" s="113"/>
      <c r="B24" s="31"/>
      <c r="C24" s="115"/>
      <c r="D24" s="116"/>
      <c r="E24" s="115"/>
      <c r="F24" s="31"/>
      <c r="G24" s="31"/>
      <c r="H24" s="31"/>
      <c r="I24" s="31"/>
      <c r="J24" s="31"/>
      <c r="K24" s="31"/>
      <c r="L24" s="31"/>
      <c r="M24" s="31"/>
      <c r="P24" s="33"/>
    </row>
    <row r="25" spans="1:16" ht="13" customHeight="1" x14ac:dyDescent="0.15">
      <c r="A25" s="113"/>
      <c r="F25" s="31"/>
      <c r="G25" s="31"/>
      <c r="H25" s="31"/>
      <c r="I25" s="31"/>
      <c r="J25" s="31"/>
      <c r="K25" s="31"/>
      <c r="L25" s="31"/>
      <c r="M25" s="31"/>
      <c r="P25" s="33"/>
    </row>
    <row r="26" spans="1:16" ht="13" customHeight="1" x14ac:dyDescent="0.15">
      <c r="A26" s="113"/>
      <c r="D26" s="117"/>
      <c r="F26" s="31"/>
      <c r="G26" s="31"/>
      <c r="H26" s="31"/>
      <c r="I26" s="31"/>
      <c r="J26" s="31"/>
      <c r="K26" s="31"/>
      <c r="L26" s="31"/>
      <c r="M26" s="31"/>
      <c r="P26" s="33"/>
    </row>
    <row r="27" spans="1:16" ht="13" customHeight="1" thickBot="1" x14ac:dyDescent="0.2">
      <c r="A27" s="113"/>
      <c r="D27" s="117"/>
      <c r="F27" s="31"/>
      <c r="G27" s="31"/>
      <c r="H27" s="31"/>
      <c r="I27" s="31"/>
      <c r="J27" s="31"/>
      <c r="K27" s="31"/>
      <c r="L27" s="31"/>
      <c r="M27" s="31"/>
      <c r="P27" s="33"/>
    </row>
    <row r="28" spans="1:16" ht="14" thickBot="1" x14ac:dyDescent="0.2">
      <c r="A28" s="118" t="s">
        <v>50</v>
      </c>
      <c r="B28" s="137" t="s">
        <v>47</v>
      </c>
      <c r="C28" s="138"/>
      <c r="D28" s="138"/>
      <c r="E28" s="138"/>
      <c r="F28" s="138"/>
      <c r="G28" s="119"/>
      <c r="H28" s="119"/>
      <c r="I28" s="124" t="s">
        <v>51</v>
      </c>
      <c r="J28" s="125"/>
      <c r="K28" s="125"/>
      <c r="L28" s="125"/>
      <c r="M28" s="125"/>
      <c r="N28" s="125"/>
      <c r="O28" s="126"/>
      <c r="P28" s="33"/>
    </row>
    <row r="29" spans="1:16" x14ac:dyDescent="0.15">
      <c r="D29" s="117"/>
    </row>
    <row r="30" spans="1:16" x14ac:dyDescent="0.15">
      <c r="D30" s="117"/>
      <c r="F30" s="120"/>
      <c r="G30" s="120"/>
    </row>
    <row r="31" spans="1:16" x14ac:dyDescent="0.15">
      <c r="D31" s="117"/>
      <c r="K31" s="121"/>
    </row>
    <row r="32" spans="1:16" x14ac:dyDescent="0.15">
      <c r="D32" s="117"/>
    </row>
    <row r="33" spans="1:10" x14ac:dyDescent="0.15">
      <c r="B33" s="114"/>
      <c r="D33" s="115"/>
    </row>
    <row r="34" spans="1:10" x14ac:dyDescent="0.15">
      <c r="B34" s="120"/>
      <c r="D34" s="117"/>
      <c r="J34" s="115"/>
    </row>
    <row r="35" spans="1:10" x14ac:dyDescent="0.15">
      <c r="J35" s="115"/>
    </row>
    <row r="36" spans="1:10" x14ac:dyDescent="0.15">
      <c r="A36" s="114"/>
      <c r="D36" s="117"/>
      <c r="J36" s="115"/>
    </row>
    <row r="37" spans="1:10" x14ac:dyDescent="0.15">
      <c r="A37" s="120"/>
      <c r="D37" s="115"/>
      <c r="J37" s="115"/>
    </row>
    <row r="38" spans="1:10" x14ac:dyDescent="0.15">
      <c r="D38" s="114"/>
      <c r="J38" s="115"/>
    </row>
    <row r="39" spans="1:10" x14ac:dyDescent="0.15">
      <c r="J39" s="115"/>
    </row>
    <row r="40" spans="1:10" x14ac:dyDescent="0.15">
      <c r="D40" s="114"/>
      <c r="J40" s="115"/>
    </row>
    <row r="41" spans="1:10" x14ac:dyDescent="0.15">
      <c r="D41" s="114"/>
      <c r="J41" s="115"/>
    </row>
    <row r="42" spans="1:10" x14ac:dyDescent="0.15">
      <c r="D42" s="114"/>
    </row>
    <row r="43" spans="1:10" x14ac:dyDescent="0.15">
      <c r="D43" s="114"/>
    </row>
    <row r="44" spans="1:10" x14ac:dyDescent="0.15">
      <c r="D44" s="114"/>
    </row>
    <row r="45" spans="1:10" x14ac:dyDescent="0.15">
      <c r="D45" s="114"/>
    </row>
    <row r="46" spans="1:10" x14ac:dyDescent="0.15">
      <c r="D46" s="114"/>
    </row>
    <row r="47" spans="1:10" x14ac:dyDescent="0.15">
      <c r="D47" s="114"/>
      <c r="I47" s="114"/>
      <c r="J47" s="114"/>
    </row>
  </sheetData>
  <sheetProtection algorithmName="SHA-512" hashValue="43ZjWteqwS0Vlspu67jc9WzsLWBoUsHJKffSgmg0bjQASDyUZ6tsF2HPrRUiR0lS16fsGr/m6gR//BO0/JBlBA==" saltValue="DzrHVeBJK/7jQH4lDKZSfQ==" spinCount="100000" sheet="1" objects="1" scenarios="1"/>
  <mergeCells count="9">
    <mergeCell ref="B18:C18"/>
    <mergeCell ref="I28:O28"/>
    <mergeCell ref="A1:A2"/>
    <mergeCell ref="B1:B2"/>
    <mergeCell ref="B15:C15"/>
    <mergeCell ref="B16:C16"/>
    <mergeCell ref="B17:C17"/>
    <mergeCell ref="A17:A18"/>
    <mergeCell ref="B28:F28"/>
  </mergeCells>
  <phoneticPr fontId="0" type="noConversion"/>
  <conditionalFormatting sqref="B10">
    <cfRule type="cellIs" dxfId="1" priority="1" stopIfTrue="1" operator="equal">
      <formula>"Weight iniside Limit"</formula>
    </cfRule>
    <cfRule type="cellIs" dxfId="0" priority="2" stopIfTrue="1" operator="equal">
      <formula>"Weight OUTSIDE Limit"</formula>
    </cfRule>
  </conditionalFormatting>
  <pageMargins left="0.61" right="0.49" top="1.9685039370078741" bottom="1.9685039370078741" header="0" footer="0"/>
  <pageSetup paperSize="9" scale="70" orientation="landscape" r:id="rId1"/>
  <headerFooter alignWithMargins="0">
    <oddHeader>&amp;C&amp;D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</xdr:col>
                    <xdr:colOff>50800</xdr:colOff>
                    <xdr:row>3</xdr:row>
                    <xdr:rowOff>25400</xdr:rowOff>
                  </from>
                  <to>
                    <xdr:col>1</xdr:col>
                    <xdr:colOff>1562100</xdr:colOff>
                    <xdr:row>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1</xdr:col>
                    <xdr:colOff>50800</xdr:colOff>
                    <xdr:row>4</xdr:row>
                    <xdr:rowOff>12700</xdr:rowOff>
                  </from>
                  <to>
                    <xdr:col>1</xdr:col>
                    <xdr:colOff>1562100</xdr:colOff>
                    <xdr:row>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1</xdr:col>
                    <xdr:colOff>50800</xdr:colOff>
                    <xdr:row>5</xdr:row>
                    <xdr:rowOff>12700</xdr:rowOff>
                  </from>
                  <to>
                    <xdr:col>1</xdr:col>
                    <xdr:colOff>1562100</xdr:colOff>
                    <xdr:row>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1</xdr:col>
                    <xdr:colOff>50800</xdr:colOff>
                    <xdr:row>6</xdr:row>
                    <xdr:rowOff>25400</xdr:rowOff>
                  </from>
                  <to>
                    <xdr:col>1</xdr:col>
                    <xdr:colOff>1562100</xdr:colOff>
                    <xdr:row>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1</xdr:col>
                    <xdr:colOff>50800</xdr:colOff>
                    <xdr:row>7</xdr:row>
                    <xdr:rowOff>25400</xdr:rowOff>
                  </from>
                  <to>
                    <xdr:col>1</xdr:col>
                    <xdr:colOff>1562100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1</xdr:col>
                    <xdr:colOff>50800</xdr:colOff>
                    <xdr:row>8</xdr:row>
                    <xdr:rowOff>38100</xdr:rowOff>
                  </from>
                  <to>
                    <xdr:col>1</xdr:col>
                    <xdr:colOff>1574800</xdr:colOff>
                    <xdr:row>8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27"/>
  <sheetViews>
    <sheetView workbookViewId="0"/>
  </sheetViews>
  <sheetFormatPr baseColWidth="10" defaultColWidth="11.5" defaultRowHeight="13" x14ac:dyDescent="0.15"/>
  <cols>
    <col min="1" max="1" width="15.5" customWidth="1"/>
  </cols>
  <sheetData>
    <row r="1" spans="1:10" s="1" customFormat="1" ht="17" thickBot="1" x14ac:dyDescent="0.25">
      <c r="A1" s="1" t="s">
        <v>35</v>
      </c>
    </row>
    <row r="2" spans="1:10" ht="17" thickBot="1" x14ac:dyDescent="0.25">
      <c r="A2" s="7"/>
      <c r="B2" s="8" t="s">
        <v>11</v>
      </c>
      <c r="C2" s="9" t="s">
        <v>0</v>
      </c>
      <c r="D2" s="8" t="s">
        <v>10</v>
      </c>
      <c r="G2" s="1" t="s">
        <v>15</v>
      </c>
    </row>
    <row r="3" spans="1:10" x14ac:dyDescent="0.15">
      <c r="A3" s="10" t="s">
        <v>2</v>
      </c>
      <c r="B3" s="5">
        <v>1800</v>
      </c>
      <c r="C3" s="17">
        <v>33</v>
      </c>
      <c r="D3" s="5">
        <f t="shared" ref="D3:D9" si="0">(B3*C3)/1000</f>
        <v>59.4</v>
      </c>
      <c r="G3" s="2" t="s">
        <v>16</v>
      </c>
      <c r="H3" s="13">
        <v>0.45359237000000002</v>
      </c>
    </row>
    <row r="4" spans="1:10" x14ac:dyDescent="0.15">
      <c r="A4" s="10" t="s">
        <v>27</v>
      </c>
      <c r="B4" s="5">
        <v>2250</v>
      </c>
      <c r="C4" s="17">
        <v>33</v>
      </c>
      <c r="D4" s="5">
        <f t="shared" si="0"/>
        <v>74.25</v>
      </c>
      <c r="G4" s="3" t="s">
        <v>18</v>
      </c>
      <c r="H4" s="14">
        <f>+H5/H3</f>
        <v>6.0086912054539185</v>
      </c>
    </row>
    <row r="5" spans="1:10" x14ac:dyDescent="0.15">
      <c r="A5" s="10" t="s">
        <v>3</v>
      </c>
      <c r="B5" s="5">
        <v>3100</v>
      </c>
      <c r="C5" s="17">
        <v>41</v>
      </c>
      <c r="D5" s="5">
        <f t="shared" si="0"/>
        <v>127.1</v>
      </c>
      <c r="G5" s="3" t="s">
        <v>20</v>
      </c>
      <c r="H5" s="14">
        <v>2.7254964844799998</v>
      </c>
    </row>
    <row r="6" spans="1:10" x14ac:dyDescent="0.15">
      <c r="A6" s="10" t="s">
        <v>4</v>
      </c>
      <c r="B6" s="5">
        <v>3100</v>
      </c>
      <c r="C6" s="17">
        <v>46</v>
      </c>
      <c r="D6" s="5">
        <f t="shared" si="0"/>
        <v>142.6</v>
      </c>
      <c r="G6" s="3" t="s">
        <v>22</v>
      </c>
      <c r="H6" s="14">
        <v>0.72</v>
      </c>
    </row>
    <row r="7" spans="1:10" x14ac:dyDescent="0.15">
      <c r="A7" s="10" t="s">
        <v>5</v>
      </c>
      <c r="B7" s="5">
        <v>1800</v>
      </c>
      <c r="C7" s="17">
        <v>46</v>
      </c>
      <c r="D7" s="5">
        <f t="shared" si="0"/>
        <v>82.8</v>
      </c>
      <c r="G7" s="3" t="s">
        <v>19</v>
      </c>
      <c r="H7" s="14">
        <v>3.7854117839999999</v>
      </c>
    </row>
    <row r="8" spans="1:10" ht="14" thickBot="1" x14ac:dyDescent="0.2">
      <c r="A8" s="20" t="s">
        <v>36</v>
      </c>
      <c r="B8" s="5">
        <v>2950</v>
      </c>
      <c r="C8" s="17">
        <v>39.5</v>
      </c>
      <c r="D8" s="5">
        <f t="shared" si="0"/>
        <v>116.52500000000001</v>
      </c>
      <c r="G8" s="4" t="s">
        <v>17</v>
      </c>
      <c r="H8" s="15">
        <v>2.5399999999999999E-2</v>
      </c>
    </row>
    <row r="9" spans="1:10" x14ac:dyDescent="0.15">
      <c r="A9" s="20" t="s">
        <v>37</v>
      </c>
      <c r="B9" s="5">
        <v>2950</v>
      </c>
      <c r="C9" s="17">
        <v>46</v>
      </c>
      <c r="D9" s="5">
        <f t="shared" si="0"/>
        <v>135.69999999999999</v>
      </c>
    </row>
    <row r="10" spans="1:10" x14ac:dyDescent="0.15">
      <c r="A10" s="10" t="s">
        <v>7</v>
      </c>
      <c r="B10" s="6">
        <f>+Input_Output!C10-Input_Output!C4</f>
        <v>1974</v>
      </c>
      <c r="C10" s="17">
        <f>(D10/B10)*1000</f>
        <v>37.689969604863222</v>
      </c>
      <c r="D10" s="5">
        <f>(Input_Output!E10-Input_Output!E4)/1000</f>
        <v>74.400000000000006</v>
      </c>
      <c r="J10" s="19"/>
    </row>
    <row r="11" spans="1:10" ht="14" thickBot="1" x14ac:dyDescent="0.2">
      <c r="A11" s="11" t="s">
        <v>8</v>
      </c>
      <c r="B11" s="12">
        <f>+Input_Output!C10</f>
        <v>1974</v>
      </c>
      <c r="C11" s="18">
        <f>Input_Output!$D$10</f>
        <v>37.689969604863222</v>
      </c>
      <c r="D11" s="5">
        <f>(B11*C11)/1000</f>
        <v>74.400000000000006</v>
      </c>
    </row>
    <row r="27" spans="2:2" x14ac:dyDescent="0.15">
      <c r="B27" s="16"/>
    </row>
  </sheetData>
  <sheetProtection algorithmName="SHA-512" hashValue="sctzgYCUQmnFa4SKhQpxKmL82bSRMIyUmnYM1cosU6VdFS3MPynP07UlZOCVDoFFzWmnnK2lXXZQuOIKBj3BXQ==" saltValue="uXDPJMV7M+WA9Pb3P67sww==" spinCount="100000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Input_Output</vt:lpstr>
      <vt:lpstr>Definitions</vt:lpstr>
      <vt:lpstr>kg_gal</vt:lpstr>
      <vt:lpstr>kg_lbs</vt:lpstr>
      <vt:lpstr>lbs_gal</vt:lpstr>
      <vt:lpstr>liter_gal</vt:lpstr>
      <vt:lpstr>liter_kg</vt:lpstr>
      <vt:lpstr>m_inch</vt:lpstr>
      <vt:lpstr>Max_Wing_Fuel</vt:lpstr>
      <vt:lpstr>Input_Output!Print_Area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2008-06-30T12:49:08Z</cp:lastPrinted>
  <dcterms:created xsi:type="dcterms:W3CDTF">1900-12-31T23:00:00Z</dcterms:created>
  <dcterms:modified xsi:type="dcterms:W3CDTF">2020-04-27T18:27:44Z</dcterms:modified>
</cp:coreProperties>
</file>