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filterPrivacy="1" codeName="DieseArbeitsmappe" defaultThemeVersion="166925"/>
  <xr:revisionPtr revIDLastSave="0" documentId="13_ncr:1_{35A59A97-3C33-EA43-AB4B-E33D2FA7C402}" xr6:coauthVersionLast="47" xr6:coauthVersionMax="47" xr10:uidLastSave="{00000000-0000-0000-0000-000000000000}"/>
  <workbookProtection workbookAlgorithmName="SHA-512" workbookHashValue="LVNzFgvqBU94klA+iZndVZwzafcO2HWpFUd/nTC6620R94DOfnTBK1YGd3GyjLpDJ1pOsggO318ciDX9pKsc9w==" workbookSaltValue="yEjrS0kfr/s1Ngq0jh82Dg==" workbookSpinCount="100000" lockStructure="1"/>
  <bookViews>
    <workbookView xWindow="0" yWindow="780" windowWidth="34200" windowHeight="19660" xr2:uid="{00000000-000D-0000-FFFF-FFFF00000000}"/>
  </bookViews>
  <sheets>
    <sheet name="Input_Output" sheetId="1" r:id="rId1"/>
    <sheet name="Definitions" sheetId="2" r:id="rId2"/>
  </sheets>
  <definedNames>
    <definedName name="kg_gal">Definitions!$H$4</definedName>
    <definedName name="kg_lbs">Definitions!$H$2</definedName>
    <definedName name="lbs_gal">Definitions!$H$3</definedName>
    <definedName name="liter_gal">Definitions!$H$6</definedName>
    <definedName name="liter_kg">Definitions!$H$5</definedName>
    <definedName name="m_inch">Definitions!$H$7</definedName>
    <definedName name="Max_Tip_Fuel">Input_Output!#REF!</definedName>
    <definedName name="Max_Wing_Fuel">Input_Output!$C$17</definedName>
    <definedName name="_xlnm.Print_Area" localSheetId="0">Input_Output!$A$1:$O$24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D17" i="1" l="1"/>
  <c r="E17" i="1" s="1"/>
  <c r="G4" i="1"/>
  <c r="G5" i="1"/>
  <c r="G6" i="1"/>
  <c r="G7" i="1"/>
  <c r="G8" i="1"/>
  <c r="F8" i="1"/>
  <c r="H8" i="1" s="1"/>
  <c r="E8" i="1"/>
  <c r="C9" i="1" l="1"/>
  <c r="F14" i="1"/>
  <c r="F4" i="1" l="1"/>
  <c r="H4" i="1" s="1"/>
  <c r="E4" i="1"/>
  <c r="D6" i="2" l="1"/>
  <c r="D5" i="2"/>
  <c r="D3" i="2"/>
  <c r="D4" i="2"/>
  <c r="F13" i="1" l="1"/>
  <c r="C11" i="1"/>
  <c r="F11" i="1" s="1"/>
  <c r="C12" i="1"/>
  <c r="F12" i="1" s="1"/>
  <c r="F10" i="1"/>
  <c r="F7" i="1"/>
  <c r="F6" i="1"/>
  <c r="F5" i="1"/>
  <c r="G3" i="1"/>
  <c r="F3" i="1"/>
  <c r="B7" i="2" l="1"/>
  <c r="H3" i="1"/>
  <c r="F17" i="1"/>
  <c r="H3" i="2" l="1"/>
  <c r="E3" i="1"/>
  <c r="E5" i="1"/>
  <c r="H5" i="1"/>
  <c r="C18" i="1"/>
  <c r="D18" i="1" l="1"/>
  <c r="C17" i="1"/>
  <c r="E7" i="1"/>
  <c r="H7" i="1"/>
  <c r="H6" i="1"/>
  <c r="B8" i="2"/>
  <c r="E18" i="1" l="1"/>
  <c r="G18" i="1"/>
  <c r="F18" i="1"/>
  <c r="F9" i="1"/>
  <c r="B9" i="1" s="1"/>
  <c r="H9" i="1"/>
  <c r="E6" i="1"/>
  <c r="E9" i="1" s="1"/>
  <c r="D9" i="1" l="1"/>
  <c r="C8" i="2" s="1"/>
  <c r="D8" i="2" s="1"/>
  <c r="D7" i="2"/>
  <c r="C7" i="2" s="1"/>
  <c r="G9" i="1"/>
</calcChain>
</file>

<file path=xl/sharedStrings.xml><?xml version="1.0" encoding="utf-8"?>
<sst xmlns="http://schemas.openxmlformats.org/spreadsheetml/2006/main" count="71" uniqueCount="51">
  <si>
    <t>Arm</t>
  </si>
  <si>
    <t>Moment</t>
  </si>
  <si>
    <t>Min.Fwd</t>
  </si>
  <si>
    <t>Max Fwd</t>
  </si>
  <si>
    <t>Max Rear</t>
  </si>
  <si>
    <t>Min Rear</t>
  </si>
  <si>
    <t>Aircraft Empty Weight</t>
  </si>
  <si>
    <t>Actual 0 Fuel</t>
  </si>
  <si>
    <t>Actual TakeOff</t>
  </si>
  <si>
    <t>Take Off</t>
  </si>
  <si>
    <t>Mom/1000</t>
  </si>
  <si>
    <t>Weight</t>
  </si>
  <si>
    <t>Fuel</t>
  </si>
  <si>
    <t>Liters</t>
  </si>
  <si>
    <t>Mass</t>
  </si>
  <si>
    <t>Aircraft Weight &amp; Balance Data</t>
  </si>
  <si>
    <t>Factors</t>
  </si>
  <si>
    <t>kg_lbs</t>
  </si>
  <si>
    <t>m_inch</t>
  </si>
  <si>
    <t>lbs_gal</t>
  </si>
  <si>
    <t>liter_gal</t>
  </si>
  <si>
    <t>kg_gal</t>
  </si>
  <si>
    <t>Adjust with mouse</t>
  </si>
  <si>
    <t>liter_kg</t>
  </si>
  <si>
    <t>lbs</t>
  </si>
  <si>
    <t>Baggage Area 1</t>
  </si>
  <si>
    <t>kg</t>
  </si>
  <si>
    <t>m</t>
  </si>
  <si>
    <t>kpm</t>
  </si>
  <si>
    <t>Pilot and Copilot</t>
  </si>
  <si>
    <t>Consult current AFM for binding data</t>
  </si>
  <si>
    <t>C.G. must be inside envelope</t>
  </si>
  <si>
    <t>MAXIMUM TAKE OFF WEIGHT</t>
  </si>
  <si>
    <t>Max. usable fuel</t>
  </si>
  <si>
    <t>Actual fuel</t>
  </si>
  <si>
    <t>In/lbs</t>
  </si>
  <si>
    <t>in</t>
  </si>
  <si>
    <t>F 150 J</t>
  </si>
  <si>
    <t>imp g_us gal</t>
  </si>
  <si>
    <t>USGAL</t>
  </si>
  <si>
    <t>ImpGAL</t>
  </si>
  <si>
    <t>Zero Fuel Weight lbs</t>
  </si>
  <si>
    <t>Payload (incl. pilot) lbs</t>
  </si>
  <si>
    <t>Engine Oil 6qts</t>
  </si>
  <si>
    <t xml:space="preserve">  AFM 12.11.2020</t>
  </si>
  <si>
    <t>Baggage Area 2</t>
  </si>
  <si>
    <t>Baggage Area 1+2</t>
  </si>
  <si>
    <t>or fill in numbers in lbs</t>
  </si>
  <si>
    <t>HB-CVZ</t>
  </si>
  <si>
    <t>V1 17.12.2020 UR</t>
  </si>
  <si>
    <r>
      <t xml:space="preserve">Fuel </t>
    </r>
    <r>
      <rPr>
        <sz val="9"/>
        <rFont val="Arial"/>
        <family val="2"/>
      </rPr>
      <t>(Long range 35 US gal)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</si>
</sst>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#,##0.0"/>
    <numFmt numFmtId="168" formatCode="#,##0.000"/>
  </numFmts>
  <fonts count="18" x14ac:knownFonts="1">
    <font>
      <sz val="10"/>
      <name val="Arial"/>
    </font>
    <font>
      <b/>
      <sz val="10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10"/>
      <color rgb="FFFF0000"/>
      <name val="Arial"/>
      <family val="2"/>
    </font>
    <font>
      <sz val="12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i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auto="1"/>
        <bgColor auto="1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 style="thin">
        <color indexed="64"/>
      </bottom>
      <diagonal/>
    </border>
    <border>
      <left style="mediumDashed">
        <color rgb="FF00B050"/>
      </left>
      <right style="mediumDashed">
        <color rgb="FF00B050"/>
      </right>
      <top style="thin">
        <color indexed="64"/>
      </top>
      <bottom style="thin">
        <color indexed="64"/>
      </bottom>
      <diagonal/>
    </border>
    <border>
      <left style="mediumDashed">
        <color rgb="FF00B050"/>
      </left>
      <right style="mediumDashed">
        <color rgb="FF00B050"/>
      </right>
      <top/>
      <bottom style="mediumDashed">
        <color rgb="FF00B05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64" fontId="0" fillId="3" borderId="4" xfId="0" applyNumberFormat="1" applyFill="1" applyBorder="1"/>
    <xf numFmtId="164" fontId="2" fillId="3" borderId="4" xfId="0" applyNumberFormat="1" applyFont="1" applyFill="1" applyBorder="1"/>
    <xf numFmtId="0" fontId="0" fillId="3" borderId="1" xfId="0" applyFill="1" applyBorder="1"/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164" fontId="3" fillId="3" borderId="7" xfId="0" applyNumberFormat="1" applyFont="1" applyFill="1" applyBorder="1"/>
    <xf numFmtId="165" fontId="0" fillId="2" borderId="6" xfId="0" applyNumberFormat="1" applyFill="1" applyBorder="1"/>
    <xf numFmtId="165" fontId="0" fillId="2" borderId="8" xfId="0" applyNumberFormat="1" applyFill="1" applyBorder="1"/>
    <xf numFmtId="165" fontId="0" fillId="2" borderId="9" xfId="0" applyNumberFormat="1" applyFill="1" applyBorder="1"/>
    <xf numFmtId="165" fontId="0" fillId="0" borderId="0" xfId="0" applyNumberFormat="1"/>
    <xf numFmtId="166" fontId="0" fillId="3" borderId="8" xfId="0" applyNumberFormat="1" applyFill="1" applyBorder="1"/>
    <xf numFmtId="166" fontId="0" fillId="3" borderId="9" xfId="0" applyNumberFormat="1" applyFill="1" applyBorder="1"/>
    <xf numFmtId="0" fontId="6" fillId="0" borderId="14" xfId="0" applyFont="1" applyBorder="1"/>
    <xf numFmtId="0" fontId="6" fillId="0" borderId="15" xfId="0" applyFont="1" applyBorder="1"/>
    <xf numFmtId="0" fontId="6" fillId="0" borderId="0" xfId="0" applyFont="1"/>
    <xf numFmtId="0" fontId="6" fillId="0" borderId="1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0" xfId="0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/>
    <xf numFmtId="0" fontId="1" fillId="5" borderId="16" xfId="0" applyFont="1" applyFill="1" applyBorder="1" applyAlignment="1">
      <alignment vertical="center"/>
    </xf>
    <xf numFmtId="0" fontId="10" fillId="0" borderId="16" xfId="0" applyFont="1" applyBorder="1"/>
    <xf numFmtId="164" fontId="10" fillId="0" borderId="0" xfId="0" applyNumberFormat="1" applyFont="1"/>
    <xf numFmtId="0" fontId="10" fillId="0" borderId="0" xfId="0" applyFont="1"/>
    <xf numFmtId="0" fontId="8" fillId="0" borderId="10" xfId="0" applyFont="1" applyBorder="1"/>
    <xf numFmtId="0" fontId="0" fillId="0" borderId="11" xfId="0" applyBorder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right"/>
    </xf>
    <xf numFmtId="0" fontId="1" fillId="5" borderId="25" xfId="0" applyFont="1" applyFill="1" applyBorder="1" applyAlignment="1">
      <alignment vertical="center"/>
    </xf>
    <xf numFmtId="2" fontId="8" fillId="0" borderId="0" xfId="0" applyNumberFormat="1" applyFont="1"/>
    <xf numFmtId="2" fontId="9" fillId="0" borderId="11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4" fontId="8" fillId="0" borderId="0" xfId="0" applyNumberFormat="1" applyFont="1"/>
    <xf numFmtId="4" fontId="9" fillId="0" borderId="11" xfId="0" applyNumberFormat="1" applyFont="1" applyBorder="1"/>
    <xf numFmtId="4" fontId="6" fillId="0" borderId="0" xfId="0" applyNumberFormat="1" applyFont="1"/>
    <xf numFmtId="164" fontId="1" fillId="9" borderId="23" xfId="0" applyNumberFormat="1" applyFont="1" applyFill="1" applyBorder="1" applyAlignment="1">
      <alignment horizontal="center" vertical="center"/>
    </xf>
    <xf numFmtId="164" fontId="1" fillId="9" borderId="24" xfId="0" applyNumberFormat="1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166" fontId="1" fillId="9" borderId="27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vertical="center"/>
    </xf>
    <xf numFmtId="3" fontId="10" fillId="8" borderId="7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4" fontId="8" fillId="6" borderId="5" xfId="0" applyNumberFormat="1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/>
    </xf>
    <xf numFmtId="2" fontId="1" fillId="10" borderId="21" xfId="0" applyNumberFormat="1" applyFont="1" applyFill="1" applyBorder="1" applyAlignment="1">
      <alignment horizontal="center"/>
    </xf>
    <xf numFmtId="0" fontId="8" fillId="12" borderId="31" xfId="0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2" borderId="36" xfId="0" applyFill="1" applyBorder="1"/>
    <xf numFmtId="165" fontId="0" fillId="2" borderId="37" xfId="0" applyNumberFormat="1" applyFill="1" applyBorder="1"/>
    <xf numFmtId="1" fontId="8" fillId="8" borderId="29" xfId="0" applyNumberFormat="1" applyFont="1" applyFill="1" applyBorder="1" applyAlignment="1">
      <alignment horizontal="center" vertical="center"/>
    </xf>
    <xf numFmtId="1" fontId="1" fillId="8" borderId="9" xfId="0" applyNumberFormat="1" applyFont="1" applyFill="1" applyBorder="1" applyAlignment="1">
      <alignment horizontal="center" vertical="center"/>
    </xf>
    <xf numFmtId="2" fontId="1" fillId="11" borderId="6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6" borderId="28" xfId="0" applyNumberFormat="1" applyFont="1" applyFill="1" applyBorder="1" applyAlignment="1">
      <alignment horizontal="center" vertical="center"/>
    </xf>
    <xf numFmtId="164" fontId="1" fillId="9" borderId="19" xfId="0" applyNumberFormat="1" applyFont="1" applyFill="1" applyBorder="1" applyAlignment="1">
      <alignment horizontal="center" vertical="center"/>
    </xf>
    <xf numFmtId="164" fontId="1" fillId="9" borderId="20" xfId="0" applyNumberFormat="1" applyFont="1" applyFill="1" applyBorder="1" applyAlignment="1">
      <alignment horizontal="center" vertical="center"/>
    </xf>
    <xf numFmtId="4" fontId="1" fillId="10" borderId="39" xfId="0" applyNumberFormat="1" applyFont="1" applyFill="1" applyBorder="1" applyAlignment="1">
      <alignment horizontal="center"/>
    </xf>
    <xf numFmtId="2" fontId="8" fillId="10" borderId="32" xfId="0" applyNumberFormat="1" applyFont="1" applyFill="1" applyBorder="1" applyAlignment="1">
      <alignment horizontal="center" vertical="center"/>
    </xf>
    <xf numFmtId="4" fontId="8" fillId="10" borderId="40" xfId="0" applyNumberFormat="1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/>
    </xf>
    <xf numFmtId="2" fontId="1" fillId="10" borderId="22" xfId="0" applyNumberFormat="1" applyFont="1" applyFill="1" applyBorder="1" applyAlignment="1">
      <alignment horizontal="center"/>
    </xf>
    <xf numFmtId="4" fontId="1" fillId="10" borderId="43" xfId="0" applyNumberFormat="1" applyFont="1" applyFill="1" applyBorder="1" applyAlignment="1">
      <alignment horizontal="center"/>
    </xf>
    <xf numFmtId="2" fontId="8" fillId="10" borderId="45" xfId="0" applyNumberFormat="1" applyFont="1" applyFill="1" applyBorder="1" applyAlignment="1">
      <alignment horizontal="center" vertical="center"/>
    </xf>
    <xf numFmtId="4" fontId="8" fillId="10" borderId="38" xfId="0" applyNumberFormat="1" applyFont="1" applyFill="1" applyBorder="1" applyAlignment="1">
      <alignment horizontal="center" vertical="center"/>
    </xf>
    <xf numFmtId="4" fontId="1" fillId="9" borderId="47" xfId="0" applyNumberFormat="1" applyFont="1" applyFill="1" applyBorder="1" applyAlignment="1">
      <alignment horizontal="center" vertical="center"/>
    </xf>
    <xf numFmtId="167" fontId="1" fillId="9" borderId="34" xfId="0" applyNumberFormat="1" applyFont="1" applyFill="1" applyBorder="1" applyAlignment="1">
      <alignment horizontal="center" vertical="center"/>
    </xf>
    <xf numFmtId="4" fontId="8" fillId="9" borderId="6" xfId="0" applyNumberFormat="1" applyFont="1" applyFill="1" applyBorder="1" applyAlignment="1">
      <alignment horizontal="center" vertical="center"/>
    </xf>
    <xf numFmtId="4" fontId="8" fillId="10" borderId="41" xfId="0" applyNumberFormat="1" applyFont="1" applyFill="1" applyBorder="1" applyAlignment="1">
      <alignment horizontal="center" vertical="center"/>
    </xf>
    <xf numFmtId="167" fontId="1" fillId="9" borderId="35" xfId="0" applyNumberFormat="1" applyFont="1" applyFill="1" applyBorder="1" applyAlignment="1">
      <alignment horizontal="center" vertical="center"/>
    </xf>
    <xf numFmtId="4" fontId="8" fillId="9" borderId="8" xfId="0" applyNumberFormat="1" applyFont="1" applyFill="1" applyBorder="1" applyAlignment="1">
      <alignment horizontal="center" vertical="center"/>
    </xf>
    <xf numFmtId="167" fontId="1" fillId="9" borderId="44" xfId="0" applyNumberFormat="1" applyFont="1" applyFill="1" applyBorder="1" applyAlignment="1">
      <alignment horizontal="center" vertical="center"/>
    </xf>
    <xf numFmtId="167" fontId="1" fillId="9" borderId="46" xfId="0" applyNumberFormat="1" applyFont="1" applyFill="1" applyBorder="1" applyAlignment="1">
      <alignment horizontal="center" vertical="center"/>
    </xf>
    <xf numFmtId="4" fontId="1" fillId="9" borderId="37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167" fontId="1" fillId="9" borderId="49" xfId="0" applyNumberFormat="1" applyFont="1" applyFill="1" applyBorder="1" applyAlignment="1">
      <alignment horizontal="center" vertical="center"/>
    </xf>
    <xf numFmtId="4" fontId="8" fillId="9" borderId="33" xfId="0" applyNumberFormat="1" applyFont="1" applyFill="1" applyBorder="1" applyAlignment="1">
      <alignment horizontal="center" vertical="center"/>
    </xf>
    <xf numFmtId="0" fontId="1" fillId="13" borderId="48" xfId="0" applyFont="1" applyFill="1" applyBorder="1" applyAlignment="1">
      <alignment vertical="center"/>
    </xf>
    <xf numFmtId="0" fontId="1" fillId="5" borderId="50" xfId="0" applyFont="1" applyFill="1" applyBorder="1" applyAlignment="1">
      <alignment vertical="center"/>
    </xf>
    <xf numFmtId="4" fontId="8" fillId="10" borderId="52" xfId="0" applyNumberFormat="1" applyFont="1" applyFill="1" applyBorder="1" applyAlignment="1">
      <alignment horizontal="center" vertical="center"/>
    </xf>
    <xf numFmtId="168" fontId="8" fillId="9" borderId="5" xfId="0" applyNumberFormat="1" applyFont="1" applyFill="1" applyBorder="1" applyAlignment="1">
      <alignment horizontal="center" vertical="center"/>
    </xf>
    <xf numFmtId="168" fontId="8" fillId="9" borderId="4" xfId="0" applyNumberFormat="1" applyFont="1" applyFill="1" applyBorder="1" applyAlignment="1">
      <alignment horizontal="center" vertical="center"/>
    </xf>
    <xf numFmtId="168" fontId="8" fillId="9" borderId="7" xfId="0" applyNumberFormat="1" applyFont="1" applyFill="1" applyBorder="1" applyAlignment="1">
      <alignment horizontal="center" vertical="center"/>
    </xf>
    <xf numFmtId="3" fontId="13" fillId="6" borderId="4" xfId="0" applyNumberFormat="1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1" fontId="13" fillId="11" borderId="25" xfId="0" applyNumberFormat="1" applyFont="1" applyFill="1" applyBorder="1" applyAlignment="1">
      <alignment horizontal="center" vertical="center"/>
    </xf>
    <xf numFmtId="1" fontId="15" fillId="11" borderId="8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/>
    </xf>
    <xf numFmtId="0" fontId="16" fillId="0" borderId="0" xfId="0" applyFont="1"/>
    <xf numFmtId="3" fontId="11" fillId="14" borderId="5" xfId="0" applyNumberFormat="1" applyFont="1" applyFill="1" applyBorder="1" applyAlignment="1">
      <alignment horizontal="center" vertical="center"/>
    </xf>
    <xf numFmtId="2" fontId="11" fillId="14" borderId="6" xfId="0" applyNumberFormat="1" applyFont="1" applyFill="1" applyBorder="1" applyAlignment="1">
      <alignment horizontal="center" vertical="center"/>
    </xf>
    <xf numFmtId="4" fontId="8" fillId="14" borderId="0" xfId="0" applyNumberFormat="1" applyFont="1" applyFill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0" xfId="0" applyNumberFormat="1" applyFont="1"/>
    <xf numFmtId="0" fontId="17" fillId="0" borderId="1" xfId="0" applyFont="1" applyBorder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vertical="center"/>
    </xf>
    <xf numFmtId="3" fontId="10" fillId="15" borderId="4" xfId="0" applyNumberFormat="1" applyFont="1" applyFill="1" applyBorder="1" applyAlignment="1">
      <alignment horizontal="center" vertical="center"/>
    </xf>
    <xf numFmtId="3" fontId="8" fillId="15" borderId="8" xfId="0" applyNumberFormat="1" applyFont="1" applyFill="1" applyBorder="1" applyAlignment="1">
      <alignment horizontal="center" vertical="center"/>
    </xf>
    <xf numFmtId="3" fontId="8" fillId="15" borderId="7" xfId="0" applyNumberFormat="1" applyFont="1" applyFill="1" applyBorder="1" applyAlignment="1">
      <alignment horizontal="center" vertical="center"/>
    </xf>
    <xf numFmtId="3" fontId="8" fillId="15" borderId="9" xfId="0" applyNumberFormat="1" applyFont="1" applyFill="1" applyBorder="1" applyAlignment="1">
      <alignment horizontal="center" vertical="center"/>
    </xf>
    <xf numFmtId="1" fontId="13" fillId="15" borderId="7" xfId="0" applyNumberFormat="1" applyFont="1" applyFill="1" applyBorder="1" applyAlignment="1">
      <alignment horizontal="center" vertical="center"/>
    </xf>
    <xf numFmtId="2" fontId="13" fillId="15" borderId="9" xfId="0" applyNumberFormat="1" applyFont="1" applyFill="1" applyBorder="1" applyAlignment="1">
      <alignment horizontal="center" vertical="center"/>
    </xf>
    <xf numFmtId="167" fontId="8" fillId="15" borderId="4" xfId="0" applyNumberFormat="1" applyFont="1" applyFill="1" applyBorder="1" applyAlignment="1">
      <alignment horizontal="center" vertical="center"/>
    </xf>
    <xf numFmtId="1" fontId="13" fillId="15" borderId="32" xfId="0" applyNumberFormat="1" applyFont="1" applyFill="1" applyBorder="1" applyAlignment="1">
      <alignment horizontal="center" vertical="center"/>
    </xf>
    <xf numFmtId="4" fontId="13" fillId="15" borderId="33" xfId="0" applyNumberFormat="1" applyFont="1" applyFill="1" applyBorder="1" applyAlignment="1">
      <alignment horizontal="center" vertical="center"/>
    </xf>
    <xf numFmtId="1" fontId="13" fillId="15" borderId="48" xfId="0" applyNumberFormat="1" applyFont="1" applyFill="1" applyBorder="1" applyAlignment="1">
      <alignment horizontal="center" vertical="center"/>
    </xf>
    <xf numFmtId="1" fontId="13" fillId="15" borderId="1" xfId="0" applyNumberFormat="1" applyFont="1" applyFill="1" applyBorder="1" applyAlignment="1">
      <alignment horizontal="center" vertical="center"/>
    </xf>
    <xf numFmtId="2" fontId="13" fillId="15" borderId="6" xfId="0" applyNumberFormat="1" applyFont="1" applyFill="1" applyBorder="1" applyAlignment="1">
      <alignment horizontal="center" vertical="center"/>
    </xf>
    <xf numFmtId="1" fontId="13" fillId="15" borderId="4" xfId="0" applyNumberFormat="1" applyFont="1" applyFill="1" applyBorder="1" applyAlignment="1">
      <alignment horizontal="center" vertical="center"/>
    </xf>
    <xf numFmtId="2" fontId="13" fillId="15" borderId="8" xfId="0" applyNumberFormat="1" applyFont="1" applyFill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164" fontId="6" fillId="0" borderId="53" xfId="0" applyNumberFormat="1" applyFont="1" applyBorder="1" applyAlignment="1">
      <alignment horizontal="center" vertical="center"/>
    </xf>
    <xf numFmtId="0" fontId="11" fillId="14" borderId="6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164" fontId="6" fillId="0" borderId="51" xfId="0" applyNumberFormat="1" applyFont="1" applyBorder="1" applyAlignment="1">
      <alignment horizontal="center" vertical="center"/>
    </xf>
    <xf numFmtId="2" fontId="8" fillId="10" borderId="49" xfId="0" applyNumberFormat="1" applyFont="1" applyFill="1" applyBorder="1" applyAlignment="1">
      <alignment horizontal="center" vertical="center"/>
    </xf>
    <xf numFmtId="2" fontId="8" fillId="10" borderId="35" xfId="0" applyNumberFormat="1" applyFont="1" applyFill="1" applyBorder="1" applyAlignment="1">
      <alignment horizontal="center" vertical="center"/>
    </xf>
    <xf numFmtId="2" fontId="8" fillId="10" borderId="53" xfId="0" applyNumberFormat="1" applyFont="1" applyFill="1" applyBorder="1" applyAlignment="1">
      <alignment horizontal="center" vertical="center"/>
    </xf>
    <xf numFmtId="3" fontId="1" fillId="10" borderId="51" xfId="0" applyNumberFormat="1" applyFont="1" applyFill="1" applyBorder="1" applyAlignment="1">
      <alignment horizontal="center" vertical="center"/>
    </xf>
    <xf numFmtId="3" fontId="1" fillId="10" borderId="42" xfId="0" applyNumberFormat="1" applyFont="1" applyFill="1" applyBorder="1" applyAlignment="1">
      <alignment horizontal="center" vertical="center"/>
    </xf>
    <xf numFmtId="3" fontId="1" fillId="10" borderId="54" xfId="0" applyNumberFormat="1" applyFont="1" applyFill="1" applyBorder="1" applyAlignment="1" applyProtection="1">
      <alignment horizontal="center" vertical="center"/>
      <protection locked="0"/>
    </xf>
    <xf numFmtId="3" fontId="8" fillId="10" borderId="55" xfId="0" applyNumberFormat="1" applyFont="1" applyFill="1" applyBorder="1" applyAlignment="1" applyProtection="1">
      <alignment horizontal="center" vertical="center"/>
      <protection locked="0"/>
    </xf>
    <xf numFmtId="3" fontId="8" fillId="10" borderId="56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B2B2B2"/>
      <color rgb="FFFF00FF"/>
      <color rgb="FFCC99FF"/>
      <color rgb="FFFFCC02"/>
      <color rgb="FF00FFFF"/>
      <color rgb="FF66FF99"/>
      <color rgb="FF99CC00"/>
      <color rgb="FF00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CENTER OF GRAVITY LIMITS</a:t>
            </a:r>
          </a:p>
        </c:rich>
      </c:tx>
      <c:layout>
        <c:manualLayout>
          <c:xMode val="edge"/>
          <c:yMode val="edge"/>
          <c:x val="0.26281475671298032"/>
          <c:y val="3.0899857801571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1635316032001"/>
          <c:y val="0.16573560093570208"/>
          <c:w val="0.80180773234468583"/>
          <c:h val="0.67417871567065257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Definitions!$C$3:$C$6</c:f>
              <c:numCache>
                <c:formatCode>0.000</c:formatCode>
                <c:ptCount val="4"/>
                <c:pt idx="0">
                  <c:v>32.799999999999997</c:v>
                </c:pt>
                <c:pt idx="1">
                  <c:v>32.799999999999997</c:v>
                </c:pt>
                <c:pt idx="2">
                  <c:v>37.5</c:v>
                </c:pt>
                <c:pt idx="3">
                  <c:v>37.5</c:v>
                </c:pt>
              </c:numCache>
            </c:numRef>
          </c:xVal>
          <c:yVal>
            <c:numRef>
              <c:f>Definitions!$B$3:$B$6</c:f>
              <c:numCache>
                <c:formatCode>0.0</c:formatCode>
                <c:ptCount val="4"/>
                <c:pt idx="0">
                  <c:v>1140</c:v>
                </c:pt>
                <c:pt idx="1">
                  <c:v>1600</c:v>
                </c:pt>
                <c:pt idx="2">
                  <c:v>1600</c:v>
                </c:pt>
                <c:pt idx="3">
                  <c:v>1140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89-E14C-B5B9-860B03F2BC7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Definitions!$C$7:$C$8</c:f>
              <c:numCache>
                <c:formatCode>0.000</c:formatCode>
                <c:ptCount val="2"/>
                <c:pt idx="0">
                  <c:v>31.77</c:v>
                </c:pt>
                <c:pt idx="1">
                  <c:v>31.769999999999996</c:v>
                </c:pt>
              </c:numCache>
            </c:numRef>
          </c:xVal>
          <c:yVal>
            <c:numRef>
              <c:f>Definitions!$B$7:$B$8</c:f>
              <c:numCache>
                <c:formatCode>0.0</c:formatCode>
                <c:ptCount val="2"/>
                <c:pt idx="0">
                  <c:v>1157.3</c:v>
                </c:pt>
                <c:pt idx="1">
                  <c:v>1157.3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89-E14C-B5B9-860B03F2B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139136"/>
        <c:axId val="1"/>
      </c:scatterChart>
      <c:valAx>
        <c:axId val="539139136"/>
        <c:scaling>
          <c:orientation val="minMax"/>
          <c:max val="39"/>
          <c:min val="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AIRCRAFT C.G. LOCATION in</a:t>
                </a:r>
              </a:p>
            </c:rich>
          </c:tx>
          <c:layout>
            <c:manualLayout>
              <c:xMode val="edge"/>
              <c:yMode val="edge"/>
              <c:x val="0.33185931144266162"/>
              <c:y val="0.904523110191458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800"/>
          <c:min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AIRCRAFT WEIGHT lbs</a:t>
                </a:r>
              </a:p>
            </c:rich>
          </c:tx>
          <c:layout>
            <c:manualLayout>
              <c:xMode val="edge"/>
              <c:yMode val="edge"/>
              <c:x val="2.8954168112446988E-2"/>
              <c:y val="0.235962550484728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139136"/>
        <c:crosses val="autoZero"/>
        <c:crossBetween val="midCat"/>
        <c:majorUnit val="50"/>
        <c:minorUnit val="5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ZULÄSSIGER SCHWERPUNKTBEREICH</a:t>
            </a:r>
          </a:p>
        </c:rich>
      </c:tx>
      <c:layout>
        <c:manualLayout>
          <c:xMode val="edge"/>
          <c:yMode val="edge"/>
          <c:x val="0.28386796648101503"/>
          <c:y val="3.1646543036734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03146354132636"/>
          <c:y val="0.17722064100571261"/>
          <c:w val="0.84418251469844341"/>
          <c:h val="0.63293086073468785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Definitions!$D$3:$D$6</c:f>
              <c:numCache>
                <c:formatCode>0.0</c:formatCode>
                <c:ptCount val="4"/>
                <c:pt idx="0">
                  <c:v>373.92</c:v>
                </c:pt>
                <c:pt idx="1">
                  <c:v>524.79999999999995</c:v>
                </c:pt>
                <c:pt idx="2">
                  <c:v>600</c:v>
                </c:pt>
                <c:pt idx="3">
                  <c:v>427.5</c:v>
                </c:pt>
              </c:numCache>
            </c:numRef>
          </c:xVal>
          <c:yVal>
            <c:numRef>
              <c:f>Definitions!$B$3:$B$6</c:f>
              <c:numCache>
                <c:formatCode>0.0</c:formatCode>
                <c:ptCount val="4"/>
                <c:pt idx="0">
                  <c:v>1140</c:v>
                </c:pt>
                <c:pt idx="1">
                  <c:v>1600</c:v>
                </c:pt>
                <c:pt idx="2">
                  <c:v>1600</c:v>
                </c:pt>
                <c:pt idx="3">
                  <c:v>1140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3E-F040-8267-1FC5974F654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Definitions!$D$7:$D$8</c:f>
              <c:numCache>
                <c:formatCode>0.0</c:formatCode>
                <c:ptCount val="2"/>
                <c:pt idx="0">
                  <c:v>367.67420999999996</c:v>
                </c:pt>
                <c:pt idx="1">
                  <c:v>367.67420999999996</c:v>
                </c:pt>
              </c:numCache>
            </c:numRef>
          </c:xVal>
          <c:yVal>
            <c:numRef>
              <c:f>Definitions!$B$7:$B$8</c:f>
              <c:numCache>
                <c:formatCode>0.0</c:formatCode>
                <c:ptCount val="2"/>
                <c:pt idx="0">
                  <c:v>1157.3</c:v>
                </c:pt>
                <c:pt idx="1">
                  <c:v>1157.3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3E-F040-8267-1FC5974F6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630672"/>
        <c:axId val="1"/>
      </c:scatterChart>
      <c:valAx>
        <c:axId val="644630672"/>
        <c:scaling>
          <c:orientation val="minMax"/>
          <c:max val="600"/>
          <c:min val="3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FLUGGEWICHTSMOMENTE lb/in</a:t>
                </a:r>
              </a:p>
            </c:rich>
          </c:tx>
          <c:layout>
            <c:manualLayout>
              <c:xMode val="edge"/>
              <c:yMode val="edge"/>
              <c:x val="0.37292458341623541"/>
              <c:y val="0.89559716793958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0"/>
        <c:minorUnit val="25"/>
      </c:valAx>
      <c:valAx>
        <c:axId val="1"/>
        <c:scaling>
          <c:orientation val="minMax"/>
          <c:max val="1800"/>
          <c:min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FLUGGEWICHT lbs</a:t>
                </a:r>
              </a:p>
            </c:rich>
          </c:tx>
          <c:layout>
            <c:manualLayout>
              <c:xMode val="edge"/>
              <c:yMode val="edge"/>
              <c:x val="2.4119500419955527E-2"/>
              <c:y val="0.325959393278364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630672"/>
        <c:crosses val="autoZero"/>
        <c:crossBetween val="midCat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Scroll" dx="22" fmlaLink="$C$5" horiz="1" max="210" noThreeD="1" page="10" val="0"/>
</file>

<file path=xl/ctrlProps/ctrlProp2.xml><?xml version="1.0" encoding="utf-8"?>
<formControlPr xmlns="http://schemas.microsoft.com/office/spreadsheetml/2009/9/main" objectType="Scroll" dx="22" fmlaLink="$C$6" horiz="1" max="450" noThreeD="1" page="10" val="0"/>
</file>

<file path=xl/ctrlProps/ctrlProp3.xml><?xml version="1.0" encoding="utf-8"?>
<formControlPr xmlns="http://schemas.microsoft.com/office/spreadsheetml/2009/9/main" objectType="Scroll" dx="22" fmlaLink="$C$7" horiz="1" max="120" noThreeD="1" page="10" val="0"/>
</file>

<file path=xl/ctrlProps/ctrlProp4.xml><?xml version="1.0" encoding="utf-8"?>
<formControlPr xmlns="http://schemas.microsoft.com/office/spreadsheetml/2009/9/main" objectType="Scroll" dx="22" fmlaLink="$C$4" horiz="1" max="11" noThreeD="1" page="10" val="0"/>
</file>

<file path=xl/ctrlProps/ctrlProp5.xml><?xml version="1.0" encoding="utf-8"?>
<formControlPr xmlns="http://schemas.microsoft.com/office/spreadsheetml/2009/9/main" objectType="Scroll" dx="22" fmlaLink="$C$8" horiz="1" max="40" noThreeD="1" page="1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817419</xdr:colOff>
      <xdr:row>6</xdr:row>
      <xdr:rowOff>89370</xdr:rowOff>
    </xdr:from>
    <xdr:to>
      <xdr:col>1</xdr:col>
      <xdr:colOff>14112</xdr:colOff>
      <xdr:row>13</xdr:row>
      <xdr:rowOff>13855</xdr:rowOff>
    </xdr:to>
    <xdr:sp macro="" textlink="">
      <xdr:nvSpPr>
        <xdr:cNvPr id="1047" name="Lin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ShapeType="1"/>
        </xdr:cNvSpPr>
      </xdr:nvSpPr>
      <xdr:spPr bwMode="auto">
        <a:xfrm flipV="1">
          <a:off x="817419" y="1378185"/>
          <a:ext cx="824174" cy="16178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0</xdr:row>
      <xdr:rowOff>0</xdr:rowOff>
    </xdr:from>
    <xdr:to>
      <xdr:col>14</xdr:col>
      <xdr:colOff>852655</xdr:colOff>
      <xdr:row>22</xdr:row>
      <xdr:rowOff>146539</xdr:rowOff>
    </xdr:to>
    <xdr:graphicFrame macro="">
      <xdr:nvGraphicFramePr>
        <xdr:cNvPr id="1069" name="Chart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</xdr:row>
          <xdr:rowOff>25400</xdr:rowOff>
        </xdr:from>
        <xdr:to>
          <xdr:col>1</xdr:col>
          <xdr:colOff>1498600</xdr:colOff>
          <xdr:row>4</xdr:row>
          <xdr:rowOff>203200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5</xdr:row>
          <xdr:rowOff>25400</xdr:rowOff>
        </xdr:from>
        <xdr:to>
          <xdr:col>1</xdr:col>
          <xdr:colOff>1498600</xdr:colOff>
          <xdr:row>5</xdr:row>
          <xdr:rowOff>203200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6</xdr:row>
          <xdr:rowOff>25400</xdr:rowOff>
        </xdr:from>
        <xdr:to>
          <xdr:col>1</xdr:col>
          <xdr:colOff>1498600</xdr:colOff>
          <xdr:row>6</xdr:row>
          <xdr:rowOff>203200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832556</xdr:colOff>
      <xdr:row>7</xdr:row>
      <xdr:rowOff>61062</xdr:rowOff>
    </xdr:from>
    <xdr:to>
      <xdr:col>2</xdr:col>
      <xdr:colOff>245020</xdr:colOff>
      <xdr:row>12</xdr:row>
      <xdr:rowOff>249296</xdr:rowOff>
    </xdr:to>
    <xdr:sp macro="" textlink="">
      <xdr:nvSpPr>
        <xdr:cNvPr id="8" name="Line 2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V="1">
          <a:off x="832556" y="1589766"/>
          <a:ext cx="2728575" cy="13876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de-CH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</xdr:row>
          <xdr:rowOff>25400</xdr:rowOff>
        </xdr:from>
        <xdr:to>
          <xdr:col>1</xdr:col>
          <xdr:colOff>1498600</xdr:colOff>
          <xdr:row>3</xdr:row>
          <xdr:rowOff>203200</xdr:rowOff>
        </xdr:to>
        <xdr:sp macro="" textlink="">
          <xdr:nvSpPr>
            <xdr:cNvPr id="1060" name="Scroll Bar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7</xdr:row>
          <xdr:rowOff>25400</xdr:rowOff>
        </xdr:from>
        <xdr:to>
          <xdr:col>1</xdr:col>
          <xdr:colOff>1498600</xdr:colOff>
          <xdr:row>7</xdr:row>
          <xdr:rowOff>203200</xdr:rowOff>
        </xdr:to>
        <xdr:sp macro="" textlink="">
          <xdr:nvSpPr>
            <xdr:cNvPr id="1074" name="Scroll Bar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8</xdr:row>
      <xdr:rowOff>152400</xdr:rowOff>
    </xdr:from>
    <xdr:to>
      <xdr:col>11</xdr:col>
      <xdr:colOff>812800</xdr:colOff>
      <xdr:row>33</xdr:row>
      <xdr:rowOff>25400</xdr:rowOff>
    </xdr:to>
    <xdr:graphicFrame macro="">
      <xdr:nvGraphicFramePr>
        <xdr:cNvPr id="3090" name="Chart 1042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46"/>
  <sheetViews>
    <sheetView tabSelected="1" zoomScale="190" zoomScaleNormal="190" workbookViewId="0">
      <selection activeCell="D17" sqref="D17"/>
    </sheetView>
  </sheetViews>
  <sheetFormatPr baseColWidth="10" defaultColWidth="11.5" defaultRowHeight="16" x14ac:dyDescent="0.2"/>
  <cols>
    <col min="1" max="1" width="21.33203125" style="21" customWidth="1"/>
    <col min="2" max="2" width="22.1640625" style="21" customWidth="1"/>
    <col min="3" max="3" width="9.1640625" style="38" customWidth="1"/>
    <col min="4" max="4" width="8" style="21" bestFit="1" customWidth="1"/>
    <col min="5" max="5" width="9" style="38" bestFit="1" customWidth="1"/>
    <col min="6" max="6" width="7" style="21" bestFit="1" customWidth="1"/>
    <col min="7" max="7" width="8.1640625" style="45" bestFit="1" customWidth="1"/>
    <col min="8" max="8" width="9" style="49" bestFit="1" customWidth="1"/>
    <col min="9" max="16384" width="11.5" style="21"/>
  </cols>
  <sheetData>
    <row r="1" spans="1:15" ht="13" customHeight="1" x14ac:dyDescent="0.2">
      <c r="A1" s="140" t="s">
        <v>48</v>
      </c>
      <c r="B1" s="142" t="s">
        <v>37</v>
      </c>
      <c r="C1" s="58" t="s">
        <v>14</v>
      </c>
      <c r="D1" s="59" t="s">
        <v>0</v>
      </c>
      <c r="E1" s="72" t="s">
        <v>1</v>
      </c>
      <c r="F1" s="70" t="s">
        <v>14</v>
      </c>
      <c r="G1" s="52" t="s">
        <v>0</v>
      </c>
      <c r="H1" s="50" t="s">
        <v>1</v>
      </c>
      <c r="I1" s="19"/>
      <c r="J1" s="19"/>
      <c r="K1" s="19"/>
      <c r="L1" s="19"/>
      <c r="M1" s="19"/>
      <c r="N1" s="19"/>
      <c r="O1" s="20"/>
    </row>
    <row r="2" spans="1:15" ht="13" customHeight="1" thickBot="1" x14ac:dyDescent="0.25">
      <c r="A2" s="141"/>
      <c r="B2" s="143"/>
      <c r="C2" s="75" t="s">
        <v>24</v>
      </c>
      <c r="D2" s="76" t="s">
        <v>36</v>
      </c>
      <c r="E2" s="77" t="s">
        <v>35</v>
      </c>
      <c r="F2" s="71" t="s">
        <v>26</v>
      </c>
      <c r="G2" s="53" t="s">
        <v>27</v>
      </c>
      <c r="H2" s="51" t="s">
        <v>28</v>
      </c>
      <c r="O2" s="22"/>
    </row>
    <row r="3" spans="1:15" ht="19" customHeight="1" thickBot="1" x14ac:dyDescent="0.25">
      <c r="A3" s="23" t="s">
        <v>6</v>
      </c>
      <c r="B3" s="24" t="s">
        <v>44</v>
      </c>
      <c r="C3" s="135">
        <v>1157.3</v>
      </c>
      <c r="D3" s="73">
        <v>31.77</v>
      </c>
      <c r="E3" s="74">
        <f>C3*D3</f>
        <v>36767.420999999995</v>
      </c>
      <c r="F3" s="81">
        <f t="shared" ref="F3:F15" si="0">C3*kg_lbs</f>
        <v>524.94244980099995</v>
      </c>
      <c r="G3" s="95">
        <f t="shared" ref="G3:G8" si="1">D3*m_inch</f>
        <v>0.80695799999999995</v>
      </c>
      <c r="H3" s="82">
        <f>F3*G3</f>
        <v>423.60650940651527</v>
      </c>
      <c r="O3" s="22"/>
    </row>
    <row r="4" spans="1:15" ht="19" customHeight="1" x14ac:dyDescent="0.2">
      <c r="A4" s="89" t="s">
        <v>43</v>
      </c>
      <c r="B4" s="92"/>
      <c r="C4" s="137">
        <v>0</v>
      </c>
      <c r="D4" s="132">
        <v>-10</v>
      </c>
      <c r="E4" s="83">
        <f t="shared" ref="E4:E8" si="2">C4*D4</f>
        <v>0</v>
      </c>
      <c r="F4" s="90">
        <f>C4*kg_lbs</f>
        <v>0</v>
      </c>
      <c r="G4" s="96">
        <f t="shared" si="1"/>
        <v>-0.254</v>
      </c>
      <c r="H4" s="91">
        <f>F4*G4</f>
        <v>0</v>
      </c>
      <c r="O4" s="22"/>
    </row>
    <row r="5" spans="1:15" ht="19" customHeight="1" x14ac:dyDescent="0.2">
      <c r="A5" s="26" t="s">
        <v>50</v>
      </c>
      <c r="B5" s="42"/>
      <c r="C5" s="138">
        <v>0</v>
      </c>
      <c r="D5" s="133">
        <v>42.2</v>
      </c>
      <c r="E5" s="83">
        <f t="shared" si="2"/>
        <v>0</v>
      </c>
      <c r="F5" s="84">
        <f t="shared" si="0"/>
        <v>0</v>
      </c>
      <c r="G5" s="96">
        <f t="shared" si="1"/>
        <v>1.0718799999999999</v>
      </c>
      <c r="H5" s="85">
        <f>G5*F5</f>
        <v>0</v>
      </c>
      <c r="O5" s="22"/>
    </row>
    <row r="6" spans="1:15" ht="19" customHeight="1" x14ac:dyDescent="0.2">
      <c r="A6" s="26" t="s">
        <v>29</v>
      </c>
      <c r="B6" s="42"/>
      <c r="C6" s="138">
        <v>0</v>
      </c>
      <c r="D6" s="133">
        <v>39</v>
      </c>
      <c r="E6" s="83">
        <f t="shared" si="2"/>
        <v>0</v>
      </c>
      <c r="F6" s="84">
        <f t="shared" si="0"/>
        <v>0</v>
      </c>
      <c r="G6" s="96">
        <f t="shared" si="1"/>
        <v>0.99059999999999993</v>
      </c>
      <c r="H6" s="85">
        <f>G6*F6</f>
        <v>0</v>
      </c>
      <c r="O6" s="22"/>
    </row>
    <row r="7" spans="1:15" ht="19" customHeight="1" x14ac:dyDescent="0.2">
      <c r="A7" s="26" t="s">
        <v>25</v>
      </c>
      <c r="B7" s="42"/>
      <c r="C7" s="138">
        <v>0</v>
      </c>
      <c r="D7" s="133">
        <v>64</v>
      </c>
      <c r="E7" s="83">
        <f t="shared" si="2"/>
        <v>0</v>
      </c>
      <c r="F7" s="86">
        <f t="shared" si="0"/>
        <v>0</v>
      </c>
      <c r="G7" s="96">
        <f t="shared" si="1"/>
        <v>1.6255999999999999</v>
      </c>
      <c r="H7" s="85">
        <f>G7*F7</f>
        <v>0</v>
      </c>
      <c r="O7" s="22"/>
    </row>
    <row r="8" spans="1:15" ht="19" customHeight="1" thickBot="1" x14ac:dyDescent="0.25">
      <c r="A8" s="26" t="s">
        <v>45</v>
      </c>
      <c r="B8" s="93"/>
      <c r="C8" s="139">
        <v>0</v>
      </c>
      <c r="D8" s="134">
        <v>84</v>
      </c>
      <c r="E8" s="94">
        <f t="shared" si="2"/>
        <v>0</v>
      </c>
      <c r="F8" s="86">
        <f t="shared" si="0"/>
        <v>0</v>
      </c>
      <c r="G8" s="97">
        <f t="shared" si="1"/>
        <v>2.1335999999999999</v>
      </c>
      <c r="H8" s="85">
        <f>G8*F8</f>
        <v>0</v>
      </c>
      <c r="O8" s="22"/>
    </row>
    <row r="9" spans="1:15" ht="19" customHeight="1" thickBot="1" x14ac:dyDescent="0.25">
      <c r="A9" s="27" t="s">
        <v>9</v>
      </c>
      <c r="B9" s="28" t="str">
        <f>IF(F9&lt;F10,"Weight Iniside Limit","Weight OUTSIDE Limit")</f>
        <v>Weight Iniside Limit</v>
      </c>
      <c r="C9" s="136">
        <f>SUM(C3:C8)</f>
        <v>1157.3</v>
      </c>
      <c r="D9" s="78">
        <f>E9/C9</f>
        <v>31.769999999999996</v>
      </c>
      <c r="E9" s="79">
        <f>SUM(E3:E8)</f>
        <v>36767.420999999995</v>
      </c>
      <c r="F9" s="87">
        <f t="shared" si="0"/>
        <v>524.94244980099995</v>
      </c>
      <c r="G9" s="80">
        <f>H9/F9</f>
        <v>0.80695799999999995</v>
      </c>
      <c r="H9" s="88">
        <f>SUM(H3:H7)</f>
        <v>423.60650940651527</v>
      </c>
      <c r="O9" s="22"/>
    </row>
    <row r="10" spans="1:15" ht="19" customHeight="1" x14ac:dyDescent="0.2">
      <c r="A10" s="29"/>
      <c r="B10" s="109" t="s">
        <v>32</v>
      </c>
      <c r="C10" s="104">
        <v>1600</v>
      </c>
      <c r="D10" s="105" t="s">
        <v>24</v>
      </c>
      <c r="E10" s="106"/>
      <c r="F10" s="104">
        <f t="shared" si="0"/>
        <v>725.747792</v>
      </c>
      <c r="G10" s="128" t="s">
        <v>26</v>
      </c>
      <c r="H10" s="126"/>
      <c r="O10" s="22"/>
    </row>
    <row r="11" spans="1:15" ht="19" customHeight="1" x14ac:dyDescent="0.2">
      <c r="A11" s="30"/>
      <c r="B11" s="61" t="s">
        <v>41</v>
      </c>
      <c r="C11" s="112">
        <f>C3+C6+C7</f>
        <v>1157.3</v>
      </c>
      <c r="D11" s="113" t="s">
        <v>24</v>
      </c>
      <c r="E11" s="68"/>
      <c r="F11" s="118">
        <f t="shared" si="0"/>
        <v>524.94244980099995</v>
      </c>
      <c r="G11" s="129" t="s">
        <v>26</v>
      </c>
      <c r="H11" s="127"/>
      <c r="O11" s="22"/>
    </row>
    <row r="12" spans="1:15" ht="19" customHeight="1" thickBot="1" x14ac:dyDescent="0.25">
      <c r="A12" s="30"/>
      <c r="B12" s="62" t="s">
        <v>42</v>
      </c>
      <c r="C12" s="114">
        <f>C6+C7</f>
        <v>0</v>
      </c>
      <c r="D12" s="115" t="s">
        <v>24</v>
      </c>
      <c r="E12" s="68"/>
      <c r="F12" s="114">
        <f t="shared" si="0"/>
        <v>0</v>
      </c>
      <c r="G12" s="130" t="s">
        <v>26</v>
      </c>
      <c r="H12" s="131"/>
      <c r="O12" s="22"/>
    </row>
    <row r="13" spans="1:15" ht="20" customHeight="1" x14ac:dyDescent="0.2">
      <c r="A13" s="31"/>
      <c r="B13" s="60" t="s">
        <v>25</v>
      </c>
      <c r="C13" s="122">
        <v>120</v>
      </c>
      <c r="D13" s="123" t="s">
        <v>24</v>
      </c>
      <c r="E13" s="107"/>
      <c r="F13" s="119">
        <f t="shared" si="0"/>
        <v>54.431084400000003</v>
      </c>
      <c r="G13" s="120" t="s">
        <v>26</v>
      </c>
      <c r="H13" s="68"/>
      <c r="O13" s="22"/>
    </row>
    <row r="14" spans="1:15" ht="20" customHeight="1" x14ac:dyDescent="0.2">
      <c r="A14" s="32" t="s">
        <v>22</v>
      </c>
      <c r="B14" s="60" t="s">
        <v>45</v>
      </c>
      <c r="C14" s="124">
        <v>40</v>
      </c>
      <c r="D14" s="125" t="s">
        <v>24</v>
      </c>
      <c r="E14" s="108"/>
      <c r="F14" s="119">
        <f t="shared" si="0"/>
        <v>18.143694800000002</v>
      </c>
      <c r="G14" s="120" t="s">
        <v>26</v>
      </c>
      <c r="H14" s="47"/>
      <c r="O14" s="22"/>
    </row>
    <row r="15" spans="1:15" ht="20" customHeight="1" thickBot="1" x14ac:dyDescent="0.25">
      <c r="A15" s="111" t="s">
        <v>47</v>
      </c>
      <c r="B15" s="60" t="s">
        <v>46</v>
      </c>
      <c r="C15" s="116">
        <v>160</v>
      </c>
      <c r="D15" s="117" t="s">
        <v>24</v>
      </c>
      <c r="E15" s="108"/>
      <c r="F15" s="121">
        <f t="shared" si="0"/>
        <v>72.574779200000009</v>
      </c>
      <c r="G15" s="120" t="s">
        <v>26</v>
      </c>
      <c r="H15" s="47"/>
      <c r="O15" s="22"/>
    </row>
    <row r="16" spans="1:15" ht="20" customHeight="1" x14ac:dyDescent="0.2">
      <c r="A16" s="31"/>
      <c r="B16" s="56" t="s">
        <v>12</v>
      </c>
      <c r="C16" s="57" t="s">
        <v>24</v>
      </c>
      <c r="D16" s="57" t="s">
        <v>39</v>
      </c>
      <c r="E16" s="57" t="s">
        <v>13</v>
      </c>
      <c r="F16" s="69" t="s">
        <v>26</v>
      </c>
      <c r="G16" s="67" t="s">
        <v>40</v>
      </c>
      <c r="H16" s="47"/>
      <c r="O16" s="22"/>
    </row>
    <row r="17" spans="1:15" ht="20" customHeight="1" x14ac:dyDescent="0.2">
      <c r="A17" s="31"/>
      <c r="B17" s="102" t="s">
        <v>33</v>
      </c>
      <c r="C17" s="98">
        <f>D17*lbs_gal</f>
        <v>210.34165638055319</v>
      </c>
      <c r="D17" s="98">
        <f>G17*Definitions!H8</f>
        <v>35.006235000000004</v>
      </c>
      <c r="E17" s="99">
        <f>D17*liter_gal</f>
        <v>132.51301448247324</v>
      </c>
      <c r="F17" s="100">
        <f>E17*liter_kg</f>
        <v>95.409370427380722</v>
      </c>
      <c r="G17" s="101">
        <v>29.15</v>
      </c>
      <c r="H17" s="47"/>
      <c r="O17" s="22"/>
    </row>
    <row r="18" spans="1:15" ht="13" customHeight="1" thickBot="1" x14ac:dyDescent="0.25">
      <c r="A18" s="31"/>
      <c r="B18" s="54" t="s">
        <v>34</v>
      </c>
      <c r="C18" s="55">
        <f>C5</f>
        <v>0</v>
      </c>
      <c r="D18" s="55">
        <f>C5/lbs_gal</f>
        <v>0</v>
      </c>
      <c r="E18" s="55">
        <f>D18*liter_gal</f>
        <v>0</v>
      </c>
      <c r="F18" s="65">
        <f>D18*kg_gal</f>
        <v>0</v>
      </c>
      <c r="G18" s="66">
        <f>D18/Definitions!H8</f>
        <v>0</v>
      </c>
      <c r="H18" s="47"/>
      <c r="O18" s="22"/>
    </row>
    <row r="19" spans="1:15" ht="13" customHeight="1" x14ac:dyDescent="0.2">
      <c r="A19" s="33"/>
      <c r="F19" s="25"/>
      <c r="G19" s="43"/>
      <c r="H19" s="47"/>
      <c r="O19" s="22"/>
    </row>
    <row r="20" spans="1:15" ht="13" customHeight="1" x14ac:dyDescent="0.2">
      <c r="A20" s="33"/>
      <c r="B20" s="25"/>
      <c r="C20" s="110"/>
      <c r="D20" s="110"/>
      <c r="E20" s="110"/>
      <c r="F20" s="110"/>
      <c r="G20" s="110"/>
      <c r="H20" s="47"/>
      <c r="O20" s="22"/>
    </row>
    <row r="21" spans="1:15" ht="13" customHeight="1" x14ac:dyDescent="0.2">
      <c r="A21" s="33"/>
      <c r="B21" s="103"/>
      <c r="C21" s="34"/>
      <c r="D21" s="35"/>
      <c r="E21" s="34"/>
      <c r="F21" s="25"/>
      <c r="G21" s="43"/>
      <c r="H21" s="47"/>
      <c r="O21" s="22"/>
    </row>
    <row r="22" spans="1:15" ht="13" customHeight="1" x14ac:dyDescent="0.2">
      <c r="A22" s="33"/>
      <c r="B22" s="25"/>
      <c r="H22" s="47"/>
      <c r="O22" s="22"/>
    </row>
    <row r="23" spans="1:15" ht="13" customHeight="1" thickBot="1" x14ac:dyDescent="0.25">
      <c r="A23" s="33"/>
      <c r="B23" s="25"/>
      <c r="C23" s="34"/>
      <c r="D23" s="35"/>
      <c r="E23" s="34"/>
      <c r="F23" s="25"/>
      <c r="G23" s="43"/>
      <c r="H23" s="47"/>
      <c r="O23" s="22"/>
    </row>
    <row r="24" spans="1:15" ht="17" thickBot="1" x14ac:dyDescent="0.25">
      <c r="A24" s="36" t="s">
        <v>49</v>
      </c>
      <c r="B24" s="147" t="s">
        <v>30</v>
      </c>
      <c r="C24" s="148"/>
      <c r="D24" s="148"/>
      <c r="E24" s="148"/>
      <c r="F24" s="37"/>
      <c r="G24" s="44"/>
      <c r="H24" s="48"/>
      <c r="I24" s="144" t="s">
        <v>31</v>
      </c>
      <c r="J24" s="145"/>
      <c r="K24" s="145"/>
      <c r="L24" s="145"/>
      <c r="M24" s="145"/>
      <c r="N24" s="145"/>
      <c r="O24" s="146"/>
    </row>
    <row r="25" spans="1:15" x14ac:dyDescent="0.2">
      <c r="D25" s="39"/>
    </row>
    <row r="26" spans="1:15" x14ac:dyDescent="0.2">
      <c r="D26" s="39"/>
      <c r="F26" s="40"/>
      <c r="G26" s="46"/>
    </row>
    <row r="27" spans="1:15" x14ac:dyDescent="0.2">
      <c r="D27" s="39"/>
      <c r="K27" s="41"/>
    </row>
    <row r="28" spans="1:15" x14ac:dyDescent="0.2">
      <c r="D28" s="39"/>
    </row>
    <row r="29" spans="1:15" x14ac:dyDescent="0.2">
      <c r="D29" s="39"/>
    </row>
    <row r="30" spans="1:15" x14ac:dyDescent="0.2">
      <c r="D30" s="39"/>
      <c r="J30" s="39"/>
    </row>
    <row r="31" spans="1:15" x14ac:dyDescent="0.2">
      <c r="D31" s="39"/>
      <c r="J31" s="39"/>
    </row>
    <row r="32" spans="1:15" x14ac:dyDescent="0.2">
      <c r="A32" s="38"/>
      <c r="B32" s="38"/>
      <c r="D32" s="39"/>
      <c r="J32" s="39"/>
    </row>
    <row r="33" spans="1:10" x14ac:dyDescent="0.2">
      <c r="A33" s="40"/>
      <c r="B33" s="40"/>
      <c r="D33" s="39"/>
      <c r="J33" s="39"/>
    </row>
    <row r="34" spans="1:10" x14ac:dyDescent="0.2">
      <c r="J34" s="39"/>
    </row>
    <row r="35" spans="1:10" x14ac:dyDescent="0.2">
      <c r="D35" s="39"/>
      <c r="J35" s="39"/>
    </row>
    <row r="36" spans="1:10" x14ac:dyDescent="0.2">
      <c r="D36" s="39"/>
      <c r="J36" s="39"/>
    </row>
    <row r="37" spans="1:10" x14ac:dyDescent="0.2">
      <c r="D37" s="38"/>
      <c r="J37" s="39"/>
    </row>
    <row r="39" spans="1:10" x14ac:dyDescent="0.2">
      <c r="D39" s="38"/>
    </row>
    <row r="40" spans="1:10" x14ac:dyDescent="0.2">
      <c r="D40" s="38"/>
    </row>
    <row r="41" spans="1:10" x14ac:dyDescent="0.2">
      <c r="D41" s="38"/>
    </row>
    <row r="42" spans="1:10" x14ac:dyDescent="0.2">
      <c r="D42" s="38"/>
    </row>
    <row r="43" spans="1:10" x14ac:dyDescent="0.2">
      <c r="D43" s="38"/>
      <c r="I43" s="38"/>
      <c r="J43" s="38"/>
    </row>
    <row r="44" spans="1:10" x14ac:dyDescent="0.2">
      <c r="D44" s="38"/>
    </row>
    <row r="45" spans="1:10" x14ac:dyDescent="0.2">
      <c r="D45" s="38"/>
    </row>
    <row r="46" spans="1:10" x14ac:dyDescent="0.2">
      <c r="D46" s="38"/>
    </row>
  </sheetData>
  <sheetProtection algorithmName="SHA-512" hashValue="Yruejm7O/MHJII6RQB4+OppCt1pNK+jQqBL2JaSQgTKEJ8t1uPd+vV0/4H1tctZPJlZUlAU93nr+CIEFExiy0Q==" saltValue="vzkuDA5+ItrkBzY+nmHeQQ==" spinCount="100000" sheet="1" objects="1" scenarios="1"/>
  <mergeCells count="4">
    <mergeCell ref="A1:A2"/>
    <mergeCell ref="B1:B2"/>
    <mergeCell ref="I24:O24"/>
    <mergeCell ref="B24:E24"/>
  </mergeCells>
  <phoneticPr fontId="0" type="noConversion"/>
  <conditionalFormatting sqref="B9:E9">
    <cfRule type="cellIs" dxfId="1" priority="1" stopIfTrue="1" operator="equal">
      <formula>"Weight iniside Limit"</formula>
    </cfRule>
    <cfRule type="cellIs" dxfId="0" priority="2" stopIfTrue="1" operator="equal">
      <formula>"Weight OUTSIDE Limit"</formula>
    </cfRule>
  </conditionalFormatting>
  <pageMargins left="0.61" right="0.49" top="1.9685039370078701" bottom="1.9685039370078701" header="0" footer="0"/>
  <pageSetup paperSize="9" scale="67" orientation="landscape" r:id="rId1"/>
  <headerFooter alignWithMargins="0">
    <oddHeader>&amp;C&amp;D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1</xdr:col>
                    <xdr:colOff>12700</xdr:colOff>
                    <xdr:row>4</xdr:row>
                    <xdr:rowOff>25400</xdr:rowOff>
                  </from>
                  <to>
                    <xdr:col>1</xdr:col>
                    <xdr:colOff>1498600</xdr:colOff>
                    <xdr:row>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1</xdr:col>
                    <xdr:colOff>25400</xdr:colOff>
                    <xdr:row>5</xdr:row>
                    <xdr:rowOff>25400</xdr:rowOff>
                  </from>
                  <to>
                    <xdr:col>1</xdr:col>
                    <xdr:colOff>1498600</xdr:colOff>
                    <xdr:row>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1</xdr:col>
                    <xdr:colOff>25400</xdr:colOff>
                    <xdr:row>6</xdr:row>
                    <xdr:rowOff>25400</xdr:rowOff>
                  </from>
                  <to>
                    <xdr:col>1</xdr:col>
                    <xdr:colOff>1498600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Scroll Bar 36">
              <controlPr defaultSize="0" autoPict="0">
                <anchor moveWithCells="1">
                  <from>
                    <xdr:col>1</xdr:col>
                    <xdr:colOff>25400</xdr:colOff>
                    <xdr:row>3</xdr:row>
                    <xdr:rowOff>25400</xdr:rowOff>
                  </from>
                  <to>
                    <xdr:col>1</xdr:col>
                    <xdr:colOff>1498600</xdr:colOff>
                    <xdr:row>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Scroll Bar 50">
              <controlPr defaultSize="0" autoPict="0">
                <anchor moveWithCells="1">
                  <from>
                    <xdr:col>1</xdr:col>
                    <xdr:colOff>25400</xdr:colOff>
                    <xdr:row>7</xdr:row>
                    <xdr:rowOff>25400</xdr:rowOff>
                  </from>
                  <to>
                    <xdr:col>1</xdr:col>
                    <xdr:colOff>1498600</xdr:colOff>
                    <xdr:row>7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24"/>
  <sheetViews>
    <sheetView workbookViewId="0">
      <selection activeCell="M23" sqref="M23"/>
    </sheetView>
  </sheetViews>
  <sheetFormatPr baseColWidth="10" defaultColWidth="11.5" defaultRowHeight="13" x14ac:dyDescent="0.15"/>
  <cols>
    <col min="1" max="1" width="15.5" customWidth="1"/>
  </cols>
  <sheetData>
    <row r="1" spans="1:8" s="1" customFormat="1" ht="17" thickBot="1" x14ac:dyDescent="0.25">
      <c r="A1" s="1" t="s">
        <v>15</v>
      </c>
      <c r="G1" s="1" t="s">
        <v>16</v>
      </c>
      <c r="H1"/>
    </row>
    <row r="2" spans="1:8" x14ac:dyDescent="0.15">
      <c r="A2" s="7"/>
      <c r="B2" s="8" t="s">
        <v>11</v>
      </c>
      <c r="C2" s="9" t="s">
        <v>0</v>
      </c>
      <c r="D2" s="8" t="s">
        <v>10</v>
      </c>
      <c r="G2" s="2" t="s">
        <v>17</v>
      </c>
      <c r="H2" s="13">
        <v>0.45359237000000002</v>
      </c>
    </row>
    <row r="3" spans="1:8" x14ac:dyDescent="0.15">
      <c r="A3" s="10" t="s">
        <v>2</v>
      </c>
      <c r="B3" s="5">
        <v>1140</v>
      </c>
      <c r="C3" s="17">
        <v>32.799999999999997</v>
      </c>
      <c r="D3" s="5">
        <f>B3*C3/100</f>
        <v>373.92</v>
      </c>
      <c r="G3" s="3" t="s">
        <v>19</v>
      </c>
      <c r="H3" s="14">
        <f>+H4/H2</f>
        <v>6.0086912054539185</v>
      </c>
    </row>
    <row r="4" spans="1:8" x14ac:dyDescent="0.15">
      <c r="A4" s="10" t="s">
        <v>3</v>
      </c>
      <c r="B4" s="5">
        <v>1600</v>
      </c>
      <c r="C4" s="17">
        <v>32.799999999999997</v>
      </c>
      <c r="D4" s="5">
        <f>B4*C4/100</f>
        <v>524.79999999999995</v>
      </c>
      <c r="G4" s="3" t="s">
        <v>21</v>
      </c>
      <c r="H4" s="14">
        <v>2.7254964844799998</v>
      </c>
    </row>
    <row r="5" spans="1:8" x14ac:dyDescent="0.15">
      <c r="A5" s="10" t="s">
        <v>4</v>
      </c>
      <c r="B5" s="5">
        <v>1600</v>
      </c>
      <c r="C5" s="17">
        <v>37.5</v>
      </c>
      <c r="D5" s="5">
        <f>B5*C5/100</f>
        <v>600</v>
      </c>
      <c r="G5" s="3" t="s">
        <v>23</v>
      </c>
      <c r="H5" s="14">
        <v>0.72</v>
      </c>
    </row>
    <row r="6" spans="1:8" x14ac:dyDescent="0.15">
      <c r="A6" s="10" t="s">
        <v>5</v>
      </c>
      <c r="B6" s="5">
        <v>1140</v>
      </c>
      <c r="C6" s="17">
        <v>37.5</v>
      </c>
      <c r="D6" s="5">
        <f>B6*C6/100</f>
        <v>427.5</v>
      </c>
      <c r="G6" s="3" t="s">
        <v>20</v>
      </c>
      <c r="H6" s="14">
        <v>3.7854117839999999</v>
      </c>
    </row>
    <row r="7" spans="1:8" ht="14" thickBot="1" x14ac:dyDescent="0.2">
      <c r="A7" s="10" t="s">
        <v>7</v>
      </c>
      <c r="B7" s="6">
        <f>Input_Output!$C$11</f>
        <v>1157.3</v>
      </c>
      <c r="C7" s="17">
        <f>D7/B7*100</f>
        <v>31.77</v>
      </c>
      <c r="D7" s="5">
        <f>(Input_Output!E9-Input_Output!E5)/100</f>
        <v>367.67420999999996</v>
      </c>
      <c r="G7" s="4" t="s">
        <v>18</v>
      </c>
      <c r="H7" s="15">
        <v>2.5399999999999999E-2</v>
      </c>
    </row>
    <row r="8" spans="1:8" ht="14" thickBot="1" x14ac:dyDescent="0.2">
      <c r="A8" s="11" t="s">
        <v>8</v>
      </c>
      <c r="B8" s="12">
        <f>Input_Output!$C$9</f>
        <v>1157.3</v>
      </c>
      <c r="C8" s="18">
        <f>Input_Output!$D$9</f>
        <v>31.769999999999996</v>
      </c>
      <c r="D8" s="5">
        <f>B8*C8/100</f>
        <v>367.67420999999996</v>
      </c>
      <c r="G8" s="63" t="s">
        <v>38</v>
      </c>
      <c r="H8" s="64">
        <v>1.2009000000000001</v>
      </c>
    </row>
    <row r="24" spans="2:2" x14ac:dyDescent="0.15">
      <c r="B24" s="16"/>
    </row>
  </sheetData>
  <sheetProtection algorithmName="SHA-512" hashValue="OARANTJY6e/r6wVdPbMWAgkNVHzvv0tvtEGWET4Uisi4OUXj3hcL79KAvqGdnP2RKJq3wgJJ4xn1KsVBu0F6Nw==" saltValue="xkLha9O4vgXbFud4T+87jw==" spinCount="100000" sheet="1" scenarios="1" selectLockedCells="1" selectUnlockedCells="1"/>
  <phoneticPr fontId="0" type="noConversion"/>
  <pageMargins left="0.75" right="0.75" top="1" bottom="1" header="0.4921259845" footer="0.4921259845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Input_Output</vt:lpstr>
      <vt:lpstr>Definitions</vt:lpstr>
      <vt:lpstr>kg_gal</vt:lpstr>
      <vt:lpstr>kg_lbs</vt:lpstr>
      <vt:lpstr>lbs_gal</vt:lpstr>
      <vt:lpstr>liter_gal</vt:lpstr>
      <vt:lpstr>liter_kg</vt:lpstr>
      <vt:lpstr>m_inch</vt:lpstr>
      <vt:lpstr>Max_Wing_Fuel</vt:lpstr>
      <vt:lpstr>Input_Output!Print_Area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2008-06-12T07:55:06Z</cp:lastPrinted>
  <dcterms:created xsi:type="dcterms:W3CDTF">1900-12-31T23:00:00Z</dcterms:created>
  <dcterms:modified xsi:type="dcterms:W3CDTF">2024-08-21T13:01:48Z</dcterms:modified>
</cp:coreProperties>
</file>